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<sst xmlns="http://schemas.openxmlformats.org/spreadsheetml/2006/main" count="163" uniqueCount="112">
  <si>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</si>
  <si>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</si>
  <si>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</si>
  <si>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</si>
  <si>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</si>
  <si>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</si>
  <si>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</si>
  <si>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</si>
  <si>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</si>
  <si>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</si>
  <si>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</si>
  <si>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</si>
  <si>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</si>
  <si>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</si>
  <si>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</si>
  <si>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</si>
  <si>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</si>
  <si>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</si>
  <si>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</si>
  <si>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</si>
  <si>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</si>
  <si>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</si>
  <si>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</si>
  <si>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</si>
  <si>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</si>
  <si>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</si>
  <si>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</si>
  <si>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</si>
  <si>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</si>
  <si>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</si>
  <si>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</si>
  <si>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</si>
  <si>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</si>
  <si>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</si>
  <si>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</si>
  <si>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</si>
  <si>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</si>
  <si>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</si>
  <si>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</si>
  <si>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</si>
  <si>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</si>
  <si>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</si>
  <si>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</si>
  <si>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</si>
  <si>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</si>
  <si>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</si>
  <si>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</si>
  <si>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</si>
  <si>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</si>
  <si>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</si>
  <si>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</si>
  <si>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</si>
  <si>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</si>
  <si>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</si>
  <si>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</si>
  <si>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</si>
  <si>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</si>
  <si>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</si>
  <si>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</si>
  <si>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</si>
  <si>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</si>
  <si>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</si>
  <si>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</si>
  <si>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</si>
  <si>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</si>
  <si>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</si>
  <si>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</si>
  <si>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</si>
  <si>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</si>
  <si>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</si>
  <si>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</si>
  <si>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</si>
  <si>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</si>
  <si>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</si>
  <si>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</si>
  <si>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</si>
  <si>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</si>
  <si>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</si>
  <si>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</si>
  <si>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</si>
  <si>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</si>
  <si>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</si>
  <si>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</si>
  <si>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</si>
  <si>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</si>
  <si>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</si>
  <si>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</si>
  <si>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</si>
  <si>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</si>
  <si>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</si>
  <si>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</si>
  <si>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</si>
  <si>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</si>
  <si>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</si>
  <si>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</si>
  <si>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</si>
  <si>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</si>
  <si>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</si>
  <si>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</si>
  <si>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</si>
  <si>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</si>
  <si>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</si>
  <si>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</si>
  <si>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</si>
  <si>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</si>
  <si>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</si>
  <si>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Субвенція державному бюджету на виконання програм соціально-економічного та культурного розвитку регіонів</t>
  </si>
  <si>
    <t>План на 4 місяці, тис.грн.</t>
  </si>
  <si>
    <t>Відсоток виконання плану 4-х місяців</t>
  </si>
  <si>
    <t>Відхилення від плану 4-х місяців, тис.грн.</t>
  </si>
  <si>
    <t>Програма впорядкування тимчасових споруд і зовнішньої реклами</t>
  </si>
  <si>
    <t>Аналіз використання коштів загального фонду міського бюджету станом на 30.04.2017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</si>
</sst>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875"/>
          <c:y val="-0.0097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05"/>
          <c:w val="0.858"/>
          <c:h val="0.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157960</c:v>
                </c:pt>
                <c:pt idx="1">
                  <c:v>148246.2</c:v>
                </c:pt>
                <c:pt idx="2">
                  <c:v>2620.6</c:v>
                </c:pt>
                <c:pt idx="3">
                  <c:v>7093.199999999988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25079.4</c:v>
                </c:pt>
                <c:pt idx="1">
                  <c:v>22474.5</c:v>
                </c:pt>
                <c:pt idx="2">
                  <c:v>1005</c:v>
                </c:pt>
                <c:pt idx="3">
                  <c:v>1599.9000000000015</c:v>
                </c:pt>
              </c:numCache>
            </c:numRef>
          </c:val>
          <c:shape val="box"/>
        </c:ser>
        <c:shape val="box"/>
        <c:axId val="61590589"/>
        <c:axId val="17444390"/>
      </c:bar3DChart>
      <c:catAx>
        <c:axId val="61590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444390"/>
        <c:crosses val="autoZero"/>
        <c:auto val="1"/>
        <c:lblOffset val="100"/>
        <c:tickLblSkip val="1"/>
        <c:noMultiLvlLbl val="0"/>
      </c:catAx>
      <c:valAx>
        <c:axId val="174443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905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07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675"/>
          <c:w val="0.8435"/>
          <c:h val="0.66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625652.8999999999</c:v>
                </c:pt>
                <c:pt idx="1">
                  <c:v>243334.5</c:v>
                </c:pt>
                <c:pt idx="2">
                  <c:v>487818.8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14045.4</c:v>
                </c:pt>
                <c:pt idx="7">
                  <c:v>15334.199999999919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180062.80000000005</c:v>
                </c:pt>
                <c:pt idx="1">
                  <c:v>61247.299999999996</c:v>
                </c:pt>
                <c:pt idx="2">
                  <c:v>129811.00000000001</c:v>
                </c:pt>
                <c:pt idx="3">
                  <c:v>17.5</c:v>
                </c:pt>
                <c:pt idx="4">
                  <c:v>8945.8</c:v>
                </c:pt>
                <c:pt idx="5">
                  <c:v>36130.200000000004</c:v>
                </c:pt>
                <c:pt idx="6">
                  <c:v>3494.3999999999996</c:v>
                </c:pt>
                <c:pt idx="7">
                  <c:v>1663.900000000025</c:v>
                </c:pt>
              </c:numCache>
            </c:numRef>
          </c:val>
          <c:shape val="box"/>
        </c:ser>
        <c:shape val="box"/>
        <c:axId val="22781783"/>
        <c:axId val="3709456"/>
      </c:bar3DChart>
      <c:catAx>
        <c:axId val="22781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09456"/>
        <c:crosses val="autoZero"/>
        <c:auto val="1"/>
        <c:lblOffset val="100"/>
        <c:tickLblSkip val="1"/>
        <c:noMultiLvlLbl val="0"/>
      </c:catAx>
      <c:valAx>
        <c:axId val="37094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817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72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55"/>
          <c:w val="0.9295"/>
          <c:h val="0.66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345568.49999999994</c:v>
                </c:pt>
                <c:pt idx="1">
                  <c:v>239505.5</c:v>
                </c:pt>
                <c:pt idx="2">
                  <c:v>345568.49999999994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104349.50000000003</c:v>
                </c:pt>
                <c:pt idx="1">
                  <c:v>64517.40000000001</c:v>
                </c:pt>
                <c:pt idx="2">
                  <c:v>104349.50000000003</c:v>
                </c:pt>
              </c:numCache>
            </c:numRef>
          </c:val>
          <c:shape val="box"/>
        </c:ser>
        <c:shape val="box"/>
        <c:axId val="33385105"/>
        <c:axId val="32030490"/>
      </c:bar3DChart>
      <c:catAx>
        <c:axId val="33385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030490"/>
        <c:crosses val="autoZero"/>
        <c:auto val="1"/>
        <c:lblOffset val="100"/>
        <c:tickLblSkip val="1"/>
        <c:noMultiLvlLbl val="0"/>
      </c:catAx>
      <c:valAx>
        <c:axId val="320304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851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4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4775"/>
          <c:w val="0.87025"/>
          <c:h val="0.59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67303.3</c:v>
                </c:pt>
                <c:pt idx="1">
                  <c:v>55535.9</c:v>
                </c:pt>
                <c:pt idx="2">
                  <c:v>2945.3</c:v>
                </c:pt>
                <c:pt idx="3">
                  <c:v>856.1</c:v>
                </c:pt>
                <c:pt idx="4">
                  <c:v>80.8</c:v>
                </c:pt>
                <c:pt idx="5">
                  <c:v>7885.200000000002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16068.100000000002</c:v>
                </c:pt>
                <c:pt idx="1">
                  <c:v>13129.7</c:v>
                </c:pt>
                <c:pt idx="2">
                  <c:v>989.6</c:v>
                </c:pt>
                <c:pt idx="3">
                  <c:v>25.800000000000004</c:v>
                </c:pt>
                <c:pt idx="4">
                  <c:v>20.4</c:v>
                </c:pt>
                <c:pt idx="5">
                  <c:v>1902.6000000000015</c:v>
                </c:pt>
              </c:numCache>
            </c:numRef>
          </c:val>
          <c:shape val="box"/>
        </c:ser>
        <c:shape val="box"/>
        <c:axId val="19838955"/>
        <c:axId val="44332868"/>
      </c:bar3DChart>
      <c:catAx>
        <c:axId val="19838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332868"/>
        <c:crosses val="autoZero"/>
        <c:auto val="1"/>
        <c:lblOffset val="100"/>
        <c:tickLblSkip val="1"/>
        <c:noMultiLvlLbl val="0"/>
      </c:catAx>
      <c:valAx>
        <c:axId val="443328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389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4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55"/>
          <c:w val="0.86375"/>
          <c:h val="0.64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25858.7</c:v>
                </c:pt>
                <c:pt idx="1">
                  <c:v>16189.8</c:v>
                </c:pt>
                <c:pt idx="2">
                  <c:v>13</c:v>
                </c:pt>
                <c:pt idx="3">
                  <c:v>810.2</c:v>
                </c:pt>
                <c:pt idx="4">
                  <c:v>1048.5</c:v>
                </c:pt>
                <c:pt idx="5">
                  <c:v>518.9</c:v>
                </c:pt>
                <c:pt idx="6">
                  <c:v>7278.300000000002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6306.8</c:v>
                </c:pt>
                <c:pt idx="1">
                  <c:v>3805</c:v>
                </c:pt>
                <c:pt idx="3">
                  <c:v>169.8</c:v>
                </c:pt>
                <c:pt idx="4">
                  <c:v>384.70000000000005</c:v>
                </c:pt>
                <c:pt idx="5">
                  <c:v>120</c:v>
                </c:pt>
                <c:pt idx="6">
                  <c:v>1827.3000000000004</c:v>
                </c:pt>
              </c:numCache>
            </c:numRef>
          </c:val>
          <c:shape val="box"/>
        </c:ser>
        <c:shape val="box"/>
        <c:axId val="63451493"/>
        <c:axId val="34192526"/>
      </c:bar3DChart>
      <c:catAx>
        <c:axId val="63451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192526"/>
        <c:crosses val="autoZero"/>
        <c:auto val="1"/>
        <c:lblOffset val="100"/>
        <c:tickLblSkip val="2"/>
        <c:noMultiLvlLbl val="0"/>
      </c:catAx>
      <c:valAx>
        <c:axId val="341925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514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75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325"/>
          <c:w val="0.8775"/>
          <c:h val="0.6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8044.6</c:v>
                </c:pt>
                <c:pt idx="1">
                  <c:v>2900.3</c:v>
                </c:pt>
                <c:pt idx="2">
                  <c:v>337.1</c:v>
                </c:pt>
                <c:pt idx="3">
                  <c:v>451.8</c:v>
                </c:pt>
                <c:pt idx="4">
                  <c:v>3707.1</c:v>
                </c:pt>
                <c:pt idx="5">
                  <c:v>648.3000000000001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870.2000000000002</c:v>
                </c:pt>
                <c:pt idx="1">
                  <c:v>682.6</c:v>
                </c:pt>
                <c:pt idx="3">
                  <c:v>175.7</c:v>
                </c:pt>
                <c:pt idx="5">
                  <c:v>11.900000000000148</c:v>
                </c:pt>
              </c:numCache>
            </c:numRef>
          </c:val>
          <c:shape val="box"/>
        </c:ser>
        <c:shape val="box"/>
        <c:axId val="39297279"/>
        <c:axId val="18131192"/>
      </c:bar3DChart>
      <c:catAx>
        <c:axId val="39297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131192"/>
        <c:crosses val="autoZero"/>
        <c:auto val="1"/>
        <c:lblOffset val="100"/>
        <c:tickLblSkip val="1"/>
        <c:noMultiLvlLbl val="0"/>
      </c:catAx>
      <c:valAx>
        <c:axId val="18131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972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9"/>
          <c:y val="-0.014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1"/>
          <c:w val="0.857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18818.899999999998</c:v>
                </c:pt>
              </c:numCache>
            </c:numRef>
          </c:val>
          <c:shape val="box"/>
        </c:ser>
        <c:shape val="box"/>
        <c:axId val="28963001"/>
        <c:axId val="59340418"/>
      </c:bar3DChart>
      <c:catAx>
        <c:axId val="28963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340418"/>
        <c:crosses val="autoZero"/>
        <c:auto val="1"/>
        <c:lblOffset val="100"/>
        <c:tickLblSkip val="1"/>
        <c:noMultiLvlLbl val="0"/>
      </c:catAx>
      <c:valAx>
        <c:axId val="593404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630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825"/>
          <c:w val="0.851"/>
          <c:h val="0.59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625652.8999999999</c:v>
                </c:pt>
                <c:pt idx="1">
                  <c:v>345568.49999999994</c:v>
                </c:pt>
                <c:pt idx="2">
                  <c:v>67303.3</c:v>
                </c:pt>
                <c:pt idx="3">
                  <c:v>25858.7</c:v>
                </c:pt>
                <c:pt idx="4">
                  <c:v>8044.6</c:v>
                </c:pt>
                <c:pt idx="5">
                  <c:v>157960</c:v>
                </c:pt>
                <c:pt idx="6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180062.80000000005</c:v>
                </c:pt>
                <c:pt idx="1">
                  <c:v>104349.50000000003</c:v>
                </c:pt>
                <c:pt idx="2">
                  <c:v>16068.100000000002</c:v>
                </c:pt>
                <c:pt idx="3">
                  <c:v>6306.8</c:v>
                </c:pt>
                <c:pt idx="4">
                  <c:v>870.2000000000002</c:v>
                </c:pt>
                <c:pt idx="5">
                  <c:v>25079.4</c:v>
                </c:pt>
                <c:pt idx="6">
                  <c:v>18818.899999999998</c:v>
                </c:pt>
              </c:numCache>
            </c:numRef>
          </c:val>
          <c:shape val="box"/>
        </c:ser>
        <c:shape val="box"/>
        <c:axId val="64301715"/>
        <c:axId val="41844524"/>
      </c:bar3DChart>
      <c:catAx>
        <c:axId val="64301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844524"/>
        <c:crosses val="autoZero"/>
        <c:auto val="1"/>
        <c:lblOffset val="100"/>
        <c:tickLblSkip val="1"/>
        <c:noMultiLvlLbl val="0"/>
      </c:catAx>
      <c:valAx>
        <c:axId val="418445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017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2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05"/>
          <c:w val="0.84125"/>
          <c:h val="0.66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722894.7</c:v>
                </c:pt>
                <c:pt idx="1">
                  <c:v>102336.00000000003</c:v>
                </c:pt>
                <c:pt idx="2">
                  <c:v>28683.1</c:v>
                </c:pt>
                <c:pt idx="3">
                  <c:v>29231.3</c:v>
                </c:pt>
                <c:pt idx="4">
                  <c:v>186.9</c:v>
                </c:pt>
                <c:pt idx="5">
                  <c:v>996364.1999999997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173103</c:v>
                </c:pt>
                <c:pt idx="1">
                  <c:v>42956.7</c:v>
                </c:pt>
                <c:pt idx="2">
                  <c:v>9133.899999999998</c:v>
                </c:pt>
                <c:pt idx="3">
                  <c:v>6252.399999999999</c:v>
                </c:pt>
                <c:pt idx="4">
                  <c:v>17.9</c:v>
                </c:pt>
                <c:pt idx="5">
                  <c:v>222314.5000000001</c:v>
                </c:pt>
              </c:numCache>
            </c:numRef>
          </c:val>
          <c:shape val="box"/>
        </c:ser>
        <c:shape val="box"/>
        <c:axId val="41056397"/>
        <c:axId val="33963254"/>
      </c:bar3DChart>
      <c:catAx>
        <c:axId val="41056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963254"/>
        <c:crosses val="autoZero"/>
        <c:auto val="1"/>
        <c:lblOffset val="100"/>
        <c:tickLblSkip val="1"/>
        <c:noMultiLvlLbl val="0"/>
      </c:catAx>
      <c:valAx>
        <c:axId val="339632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563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07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3" sqref="D13"/>
    </sheetView>
  </sheetViews>
  <sheetFormatPr defaultColWidth="9.1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41</v>
      </c>
      <c r="B3" s="130" t="s">
        <v>107</v>
      </c>
      <c r="C3" s="130" t="s">
        <v>91</v>
      </c>
      <c r="D3" s="130" t="s">
        <v>23</v>
      </c>
      <c r="E3" s="130" t="s">
        <v>22</v>
      </c>
      <c r="F3" s="130" t="s">
        <v>108</v>
      </c>
      <c r="G3" s="130" t="s">
        <v>93</v>
      </c>
      <c r="H3" s="130" t="s">
        <v>109</v>
      </c>
      <c r="I3" s="130" t="s">
        <v>92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27</v>
      </c>
      <c r="B6" s="45">
        <f>220467.5+1902.8</f>
        <v>222370.3</v>
      </c>
      <c r="C6" s="46">
        <f>625865.1-190.4-316.9+47.1+50+198+5366.4</f>
        <v>631019.2999999999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+0.1</f>
        <v>207330.10000000003</v>
      </c>
      <c r="E6" s="3">
        <f>D6/D151*100</f>
        <v>39.195577006331256</v>
      </c>
      <c r="F6" s="3">
        <f>D6/B6*100</f>
        <v>93.23641691358965</v>
      </c>
      <c r="G6" s="3">
        <f aca="true" t="shared" si="0" ref="G6:G43">D6/C6*100</f>
        <v>32.856380145583515</v>
      </c>
      <c r="H6" s="47">
        <f>B6-D6</f>
        <v>15040.199999999953</v>
      </c>
      <c r="I6" s="47">
        <f aca="true" t="shared" si="1" ref="I6:I43">C6-D6</f>
        <v>423689.1999999999</v>
      </c>
    </row>
    <row r="7" spans="1:9" s="37" customFormat="1" ht="18.75">
      <c r="A7" s="104" t="s">
        <v>83</v>
      </c>
      <c r="B7" s="97">
        <f>74928.4+20</f>
        <v>74948.4</v>
      </c>
      <c r="C7" s="94">
        <f>243287.4+47.1+20</f>
        <v>243354.5</v>
      </c>
      <c r="D7" s="105">
        <f>6699.4+11261.7+10.2+8073.8+9792.3+0.1+0.8+7352+6.6+10108.4-0.1+7942.1+9848.6-0.1</f>
        <v>71095.79999999999</v>
      </c>
      <c r="E7" s="95">
        <f>D7/D6*100</f>
        <v>34.291113543089004</v>
      </c>
      <c r="F7" s="95">
        <f>D7/B7*100</f>
        <v>94.85966344845252</v>
      </c>
      <c r="G7" s="95">
        <f>D7/C7*100</f>
        <v>29.214910757762848</v>
      </c>
      <c r="H7" s="105">
        <f>B7-D7</f>
        <v>3852.600000000006</v>
      </c>
      <c r="I7" s="105">
        <f t="shared" si="1"/>
        <v>172258.7</v>
      </c>
    </row>
    <row r="8" spans="1:9" ht="18">
      <c r="A8" s="23" t="s">
        <v>3</v>
      </c>
      <c r="B8" s="42">
        <f>151038.5+2656.2+700+2039.6</f>
        <v>156434.30000000002</v>
      </c>
      <c r="C8" s="43">
        <f>487771.7+47.1+4992.2</f>
        <v>492811</v>
      </c>
      <c r="D8" s="44">
        <f>12945+14658+9353.4+10.2+0.1+7+16015+13071.9+6973.3+1906+3.4+7.6+13882.5+6.6+747.5+21101.8+2656.1+15.6+10047+6403+9848.6+12369.9</f>
        <v>152029.5</v>
      </c>
      <c r="E8" s="1">
        <f>D8/D6*100</f>
        <v>73.32726893007816</v>
      </c>
      <c r="F8" s="1">
        <f>D8/B8*100</f>
        <v>97.1842492343431</v>
      </c>
      <c r="G8" s="1">
        <f t="shared" si="0"/>
        <v>30.84945344158308</v>
      </c>
      <c r="H8" s="44">
        <f>B8-D8</f>
        <v>4404.8000000000175</v>
      </c>
      <c r="I8" s="44">
        <f t="shared" si="1"/>
        <v>340781.5</v>
      </c>
    </row>
    <row r="9" spans="1:9" ht="18">
      <c r="A9" s="23" t="s">
        <v>2</v>
      </c>
      <c r="B9" s="42">
        <v>37.9</v>
      </c>
      <c r="C9" s="43">
        <v>92.5</v>
      </c>
      <c r="D9" s="44">
        <f>2.5+4.3+3.3+7+0.4+1.3+1.6</f>
        <v>20.400000000000002</v>
      </c>
      <c r="E9" s="12">
        <f>D9/D6*100</f>
        <v>0.009839381739554459</v>
      </c>
      <c r="F9" s="120">
        <f>D9/B9*100</f>
        <v>53.825857519788926</v>
      </c>
      <c r="G9" s="1">
        <f t="shared" si="0"/>
        <v>22.054054054054056</v>
      </c>
      <c r="H9" s="44">
        <f aca="true" t="shared" si="2" ref="H9:H43">B9-D9</f>
        <v>17.499999999999996</v>
      </c>
      <c r="I9" s="44">
        <f t="shared" si="1"/>
        <v>72.1</v>
      </c>
    </row>
    <row r="10" spans="1:9" ht="18">
      <c r="A10" s="23" t="s">
        <v>1</v>
      </c>
      <c r="B10" s="42">
        <f>11420.6+731.4</f>
        <v>12152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577.8+199.8+74.7+2.9+214.2+13.4+43.4+23+50.5+482.2+461.6+80.5+165.5+636+126.3+890.8+56.1+6.4+310.6+696.5+21.5+413.5+205.4+11.4+138.6+464+46.3+91.5+423.6+320.5+131.4+1.4-0.2+414.9+354.8+710.5+15.1+69.4+70.2+27.7+56+270+285.7+197.8+280.3+27-0.1</f>
        <v>10160.4</v>
      </c>
      <c r="E10" s="1">
        <f>D10/D6*100</f>
        <v>4.90059089345927</v>
      </c>
      <c r="F10" s="1">
        <f aca="true" t="shared" si="3" ref="F10:F41">D10/B10*100</f>
        <v>83.61092824226465</v>
      </c>
      <c r="G10" s="1">
        <f t="shared" si="0"/>
        <v>36.99870728110263</v>
      </c>
      <c r="H10" s="44">
        <f t="shared" si="2"/>
        <v>1991.6000000000004</v>
      </c>
      <c r="I10" s="44">
        <f t="shared" si="1"/>
        <v>17301.1</v>
      </c>
    </row>
    <row r="11" spans="1:9" ht="18">
      <c r="A11" s="23" t="s">
        <v>0</v>
      </c>
      <c r="B11" s="42">
        <f>47704.8-2656.2-700-731.4</f>
        <v>43617.200000000004</v>
      </c>
      <c r="C11" s="43">
        <v>80900.5</v>
      </c>
      <c r="D11" s="49">
        <f>143.9+390+0.1+142.7+13.1+169.2+704.4+3378.9+1906.3+468.5+6301.9+20.7+31.8+0.1+3059.4+2301.7+3149.2+438.7+2370.2+711.7+2057.8+893.1+2232.6+125.5+3192.3+1926.4+62.4+643.2+81.8+374+224.4+1074.6+1.3</f>
        <v>38591.90000000001</v>
      </c>
      <c r="E11" s="1">
        <f>D11/D6*100</f>
        <v>18.613746870329006</v>
      </c>
      <c r="F11" s="1">
        <f t="shared" si="3"/>
        <v>88.47862769733042</v>
      </c>
      <c r="G11" s="1">
        <f t="shared" si="0"/>
        <v>47.70291901780583</v>
      </c>
      <c r="H11" s="44">
        <f t="shared" si="2"/>
        <v>5025.299999999996</v>
      </c>
      <c r="I11" s="44">
        <f t="shared" si="1"/>
        <v>42308.59999999999</v>
      </c>
    </row>
    <row r="12" spans="1:9" ht="18">
      <c r="A12" s="23" t="s">
        <v>14</v>
      </c>
      <c r="B12" s="42">
        <v>4755.1</v>
      </c>
      <c r="C12" s="43">
        <v>14045.5</v>
      </c>
      <c r="D12" s="44">
        <f>276.3+3.4+1.2+766.5+1.2+207.2+488.1+284.1+207.8+0.1+1.2+2.8+9+434.7+164.8+490.2+0.8+3.6+1.2+150.2+3.6+534.8+237.6+35.2+0.2</f>
        <v>4305.799999999999</v>
      </c>
      <c r="E12" s="1">
        <f>D12/D6*100</f>
        <v>2.076784798733999</v>
      </c>
      <c r="F12" s="1">
        <f t="shared" si="3"/>
        <v>90.5511976614582</v>
      </c>
      <c r="G12" s="1">
        <f t="shared" si="0"/>
        <v>30.656082019152038</v>
      </c>
      <c r="H12" s="44">
        <f t="shared" si="2"/>
        <v>449.3000000000011</v>
      </c>
      <c r="I12" s="44">
        <f t="shared" si="1"/>
        <v>9739.7</v>
      </c>
    </row>
    <row r="13" spans="1:9" ht="18.75" thickBot="1">
      <c r="A13" s="23" t="s">
        <v>28</v>
      </c>
      <c r="B13" s="43">
        <f>B6-B8-B9-B10-B11-B12</f>
        <v>5373.799999999972</v>
      </c>
      <c r="C13" s="43">
        <f>C6-C8-C9-C10-C11-C12</f>
        <v>15708.29999999993</v>
      </c>
      <c r="D13" s="43">
        <f>D6-D8-D9-D10-D11-D12</f>
        <v>2222.100000000024</v>
      </c>
      <c r="E13" s="1">
        <f>D13/D6*100</f>
        <v>1.0717691256600097</v>
      </c>
      <c r="F13" s="1">
        <f t="shared" si="3"/>
        <v>41.35062711675231</v>
      </c>
      <c r="G13" s="1">
        <f t="shared" si="0"/>
        <v>14.146024713050004</v>
      </c>
      <c r="H13" s="44">
        <f t="shared" si="2"/>
        <v>3151.699999999948</v>
      </c>
      <c r="I13" s="44">
        <f t="shared" si="1"/>
        <v>13486.199999999906</v>
      </c>
    </row>
    <row r="14" spans="1:13" s="37" customFormat="1" ht="18.75" customHeight="1" hidden="1">
      <c r="A14" s="96" t="s">
        <v>63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60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61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62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f>140167.4+870.4</f>
        <v>141037.8</v>
      </c>
      <c r="C18" s="46">
        <f>329127.1+600+14307.6+200+1333.8+15842.2</f>
        <v>361410.69999999995</v>
      </c>
      <c r="D18" s="47">
        <f>7750.2+16091.8+509.8+21.4+337.2+206.3+9326.4+708.9+873+242.1+3327.1+2.3+17653.4+33.8-2.1+533.8+30.7+490.1+11915.5+3423.1+24.3+167.7+3429.8+14147.8+57.6+1.8+36.5+3469.9+24.5+9514.8+2039.4+634+1548+13955+0.1+398.3</f>
        <v>122924.30000000003</v>
      </c>
      <c r="E18" s="3">
        <f>D18/D151*100</f>
        <v>23.238733143906096</v>
      </c>
      <c r="F18" s="3">
        <f>D18/B18*100</f>
        <v>87.15698911922905</v>
      </c>
      <c r="G18" s="3">
        <f t="shared" si="0"/>
        <v>34.01235768614489</v>
      </c>
      <c r="H18" s="47">
        <f>B18-D18</f>
        <v>18113.499999999956</v>
      </c>
      <c r="I18" s="47">
        <f t="shared" si="1"/>
        <v>238486.3999999999</v>
      </c>
    </row>
    <row r="19" spans="1:13" s="37" customFormat="1" ht="18.75">
      <c r="A19" s="104" t="s">
        <v>84</v>
      </c>
      <c r="B19" s="97">
        <v>80654.3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7750.2+9045.4-324.4+287.3+8839.2+63.1+167.7+672.4+2.3+8064+287.9+29.4+0.1+353.7+16.6+490.1+8886.5+888+91.8+1141.4+7667.3+57.6+1.8+36.5-0.1+486.8+9514.8+831.1+1390.3+7339.1+50.1</f>
        <v>74128.00000000001</v>
      </c>
      <c r="E19" s="95">
        <f>D19/D18*100</f>
        <v>60.30378045675264</v>
      </c>
      <c r="F19" s="95">
        <f t="shared" si="3"/>
        <v>91.90830495088298</v>
      </c>
      <c r="G19" s="95">
        <f t="shared" si="0"/>
        <v>30.950437463857828</v>
      </c>
      <c r="H19" s="105">
        <f t="shared" si="2"/>
        <v>6526.299999999988</v>
      </c>
      <c r="I19" s="105">
        <f t="shared" si="1"/>
        <v>165377.5</v>
      </c>
      <c r="K19" s="11"/>
      <c r="L19" s="11"/>
      <c r="M19" s="11"/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141037.8</v>
      </c>
      <c r="C25" s="43">
        <f>C18</f>
        <v>361410.69999999995</v>
      </c>
      <c r="D25" s="43">
        <f>D18</f>
        <v>122924.30000000003</v>
      </c>
      <c r="E25" s="1">
        <f>D25/D18*100</f>
        <v>100</v>
      </c>
      <c r="F25" s="1">
        <f t="shared" si="3"/>
        <v>87.15698911922905</v>
      </c>
      <c r="G25" s="1">
        <f t="shared" si="0"/>
        <v>34.01235768614489</v>
      </c>
      <c r="H25" s="44">
        <f t="shared" si="2"/>
        <v>18113.499999999956</v>
      </c>
      <c r="I25" s="44">
        <f t="shared" si="1"/>
        <v>238486.3999999999</v>
      </c>
    </row>
    <row r="26" spans="1:9" ht="57" hidden="1" thickBot="1">
      <c r="A26" s="96" t="s">
        <v>71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72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73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74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75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76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77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f>19843.9+6.6</f>
        <v>19850.5</v>
      </c>
      <c r="C33" s="46">
        <f>67303.3-3099.2</f>
        <v>64204.100000000006</v>
      </c>
      <c r="D33" s="50">
        <f>1839.2+34.8+165.7+1873.2+1.3+5.1+223.7+77.9+1834.7+29.7+171.2+8.4+128.8+239.3+79.6+50.8+1967+148.5+65.1+168.2+2+195+1854.2+111.8+11.9+51+73.3+98+192+131.2+1842+37.2+0.2+0.1+1.5+37.1+157.3+17.7+6.8+2135.6+67.4+59.6+135+57.6+27.2+2317.7+25.5</f>
        <v>18758.100000000002</v>
      </c>
      <c r="E33" s="3">
        <f>D33/D151*100</f>
        <v>3.5462026644585727</v>
      </c>
      <c r="F33" s="3">
        <f>D33/B33*100</f>
        <v>94.49686405883983</v>
      </c>
      <c r="G33" s="3">
        <f t="shared" si="0"/>
        <v>29.216358456858675</v>
      </c>
      <c r="H33" s="47">
        <f t="shared" si="2"/>
        <v>1092.3999999999978</v>
      </c>
      <c r="I33" s="47">
        <f t="shared" si="1"/>
        <v>45446</v>
      </c>
    </row>
    <row r="34" spans="1:9" ht="18">
      <c r="A34" s="23" t="s">
        <v>3</v>
      </c>
      <c r="B34" s="42">
        <f>15131.4+219.4</f>
        <v>15350.8</v>
      </c>
      <c r="C34" s="43">
        <f>55535.9-3105.8</f>
        <v>52430.1</v>
      </c>
      <c r="D34" s="44">
        <f>1743.2+1833.7+1830.2+1935.3+81+1854.2+129.9+1804.7+34.4+1.5+1881.6+1967.7+0.1</f>
        <v>15097.500000000002</v>
      </c>
      <c r="E34" s="1">
        <f>D34/D33*100</f>
        <v>80.48523038047564</v>
      </c>
      <c r="F34" s="1">
        <f t="shared" si="3"/>
        <v>98.34992313104205</v>
      </c>
      <c r="G34" s="1">
        <f t="shared" si="0"/>
        <v>28.795481984585198</v>
      </c>
      <c r="H34" s="44">
        <f t="shared" si="2"/>
        <v>253.29999999999745</v>
      </c>
      <c r="I34" s="44">
        <f t="shared" si="1"/>
        <v>37332.6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f>1590.4-119.2</f>
        <v>1471.2</v>
      </c>
      <c r="C36" s="43">
        <v>2945.3</v>
      </c>
      <c r="D36" s="44">
        <f>5.4+1.2+41.8+16.1+2.9+29.7+160.9+0.8+93.4+46.9+11.2+0.1+15.2+184.7+9.2+183.2+0.9+11.9+0.1+174+0.1+59.2+12.8+2+8.2+325.6+7.6-0.1</f>
        <v>1405</v>
      </c>
      <c r="E36" s="1">
        <f>D36/D33*100</f>
        <v>7.490097611165308</v>
      </c>
      <c r="F36" s="1">
        <f t="shared" si="3"/>
        <v>95.50027188689505</v>
      </c>
      <c r="G36" s="1">
        <f t="shared" si="0"/>
        <v>47.703120225443925</v>
      </c>
      <c r="H36" s="44">
        <f t="shared" si="2"/>
        <v>66.20000000000005</v>
      </c>
      <c r="I36" s="44">
        <f t="shared" si="1"/>
        <v>1540.3000000000002</v>
      </c>
    </row>
    <row r="37" spans="1:9" s="37" customFormat="1" ht="18.75">
      <c r="A37" s="18" t="s">
        <v>7</v>
      </c>
      <c r="B37" s="51">
        <v>139</v>
      </c>
      <c r="C37" s="52">
        <v>856.1</v>
      </c>
      <c r="D37" s="53">
        <f>7.4+12.3+6.1+3.3+9.3</f>
        <v>38.400000000000006</v>
      </c>
      <c r="E37" s="17">
        <f>D37/D33*100</f>
        <v>0.20471156460409104</v>
      </c>
      <c r="F37" s="17">
        <f t="shared" si="3"/>
        <v>27.625899280575545</v>
      </c>
      <c r="G37" s="17">
        <f t="shared" si="0"/>
        <v>4.485457306389441</v>
      </c>
      <c r="H37" s="53">
        <f t="shared" si="2"/>
        <v>100.6</v>
      </c>
      <c r="I37" s="53">
        <f t="shared" si="1"/>
        <v>817.7</v>
      </c>
    </row>
    <row r="38" spans="1:9" ht="18">
      <c r="A38" s="23" t="s">
        <v>14</v>
      </c>
      <c r="B38" s="42">
        <v>20.4</v>
      </c>
      <c r="C38" s="43">
        <v>80.8</v>
      </c>
      <c r="D38" s="43">
        <f>5.1+5.1+5.1+5.1</f>
        <v>20.4</v>
      </c>
      <c r="E38" s="1">
        <f>D38/D33*100</f>
        <v>0.10875301869592334</v>
      </c>
      <c r="F38" s="1">
        <f t="shared" si="3"/>
        <v>100</v>
      </c>
      <c r="G38" s="1">
        <f t="shared" si="0"/>
        <v>25.247524752475247</v>
      </c>
      <c r="H38" s="44">
        <f t="shared" si="2"/>
        <v>0</v>
      </c>
      <c r="I38" s="44">
        <f t="shared" si="1"/>
        <v>60.4</v>
      </c>
    </row>
    <row r="39" spans="1:9" ht="18.75" thickBot="1">
      <c r="A39" s="23" t="s">
        <v>28</v>
      </c>
      <c r="B39" s="42">
        <f>B33-B34-B36-B37-B35-B38</f>
        <v>2869.100000000001</v>
      </c>
      <c r="C39" s="42">
        <f>C33-C34-C36-C37-C35-C38</f>
        <v>7891.8000000000075</v>
      </c>
      <c r="D39" s="42">
        <f>D33-D34-D36-D37-D35-D38</f>
        <v>2196.8</v>
      </c>
      <c r="E39" s="1">
        <f>D39/D33*100</f>
        <v>11.71120742505904</v>
      </c>
      <c r="F39" s="1">
        <f t="shared" si="3"/>
        <v>76.56756474155657</v>
      </c>
      <c r="G39" s="1">
        <f t="shared" si="0"/>
        <v>27.836488507057933</v>
      </c>
      <c r="H39" s="44">
        <f>B39-D39</f>
        <v>672.3000000000006</v>
      </c>
      <c r="I39" s="44">
        <f t="shared" si="1"/>
        <v>5695.000000000007</v>
      </c>
    </row>
    <row r="40" spans="1:9" ht="19.5" hidden="1" thickBot="1">
      <c r="A40" s="96" t="s">
        <v>68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69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70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f>721.4+110.1+3.3</f>
        <v>834.8</v>
      </c>
      <c r="C43" s="46">
        <f>1548.6+6.6+21.9+503.3</f>
        <v>2080.4</v>
      </c>
      <c r="D43" s="47">
        <f>29.1+22+50.2+8.1+0.6+111.5+89.2+3+14.7+7.1+8.4+11.5+17.6+100.3+27.2+6.2-0.1+30.1+12.7+5+6.1+5+7.2+55.8+7.4+109.8-0.1</f>
        <v>745.5999999999999</v>
      </c>
      <c r="E43" s="3">
        <f>D43/D151*100</f>
        <v>0.14095503844314247</v>
      </c>
      <c r="F43" s="3">
        <f>D43/B43*100</f>
        <v>89.31480594154287</v>
      </c>
      <c r="G43" s="3">
        <f t="shared" si="0"/>
        <v>35.83926168044606</v>
      </c>
      <c r="H43" s="47">
        <f t="shared" si="2"/>
        <v>89.20000000000005</v>
      </c>
      <c r="I43" s="47">
        <f t="shared" si="1"/>
        <v>1334.8000000000002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4030.9</v>
      </c>
      <c r="C45" s="46">
        <v>11788</v>
      </c>
      <c r="D45" s="47">
        <f>102.9+155.5+3.1+3.7+452.3+6+17.2+314.1+59.3+95.2+2.2+579+1.9+71.6+375.2+7+7.3+568.3+0.1+96.1+326.4+4.1+518.1-0.1</f>
        <v>3766.5</v>
      </c>
      <c r="E45" s="3">
        <f>D45/D151*100</f>
        <v>0.7120535840881119</v>
      </c>
      <c r="F45" s="3">
        <f>D45/B45*100</f>
        <v>93.44067081793148</v>
      </c>
      <c r="G45" s="3">
        <f aca="true" t="shared" si="4" ref="G45:G76">D45/C45*100</f>
        <v>31.951985069562266</v>
      </c>
      <c r="H45" s="47">
        <f>B45-D45</f>
        <v>264.4000000000001</v>
      </c>
      <c r="I45" s="47">
        <f aca="true" t="shared" si="5" ref="I45:I77">C45-D45</f>
        <v>8021.5</v>
      </c>
    </row>
    <row r="46" spans="1:9" ht="18">
      <c r="A46" s="23" t="s">
        <v>3</v>
      </c>
      <c r="B46" s="42">
        <v>3378.6</v>
      </c>
      <c r="C46" s="43">
        <v>10529.7</v>
      </c>
      <c r="D46" s="44">
        <f>102.7+154.9+447.3+314.1+572.1+284.8+559+325.4+510.8</f>
        <v>3271.1000000000004</v>
      </c>
      <c r="E46" s="1">
        <f>D46/D45*100</f>
        <v>86.84720562856765</v>
      </c>
      <c r="F46" s="1">
        <f aca="true" t="shared" si="6" ref="F46:F74">D46/B46*100</f>
        <v>96.81820872550762</v>
      </c>
      <c r="G46" s="1">
        <f t="shared" si="4"/>
        <v>31.065462453821098</v>
      </c>
      <c r="H46" s="44">
        <f aca="true" t="shared" si="7" ref="H46:H74">B46-D46</f>
        <v>107.49999999999955</v>
      </c>
      <c r="I46" s="44">
        <f t="shared" si="5"/>
        <v>7258.6</v>
      </c>
    </row>
    <row r="47" spans="1:9" ht="18">
      <c r="A47" s="23" t="s">
        <v>2</v>
      </c>
      <c r="B47" s="42">
        <v>0.8</v>
      </c>
      <c r="C47" s="43">
        <v>1.4</v>
      </c>
      <c r="D47" s="44">
        <f>0.4</f>
        <v>0.4</v>
      </c>
      <c r="E47" s="1">
        <f>D47/D45*100</f>
        <v>0.010619938935351124</v>
      </c>
      <c r="F47" s="1">
        <f t="shared" si="6"/>
        <v>50</v>
      </c>
      <c r="G47" s="1">
        <f t="shared" si="4"/>
        <v>28.571428571428577</v>
      </c>
      <c r="H47" s="44">
        <f t="shared" si="7"/>
        <v>0.4</v>
      </c>
      <c r="I47" s="44">
        <f t="shared" si="5"/>
        <v>0.9999999999999999</v>
      </c>
    </row>
    <row r="48" spans="1:9" ht="18">
      <c r="A48" s="23" t="s">
        <v>1</v>
      </c>
      <c r="B48" s="42">
        <v>24.4</v>
      </c>
      <c r="C48" s="43">
        <f>73.4+0.9</f>
        <v>74.30000000000001</v>
      </c>
      <c r="D48" s="44">
        <f>5.4+5.6+7.3</f>
        <v>18.3</v>
      </c>
      <c r="E48" s="1">
        <f>D48/D45*100</f>
        <v>0.4858622062923138</v>
      </c>
      <c r="F48" s="1">
        <f t="shared" si="6"/>
        <v>75.00000000000001</v>
      </c>
      <c r="G48" s="1">
        <f t="shared" si="4"/>
        <v>24.62987886944818</v>
      </c>
      <c r="H48" s="44">
        <f t="shared" si="7"/>
        <v>6.099999999999998</v>
      </c>
      <c r="I48" s="44">
        <f t="shared" si="5"/>
        <v>56.000000000000014</v>
      </c>
    </row>
    <row r="49" spans="1:9" ht="18">
      <c r="A49" s="23" t="s">
        <v>0</v>
      </c>
      <c r="B49" s="42">
        <v>529.5</v>
      </c>
      <c r="C49" s="43">
        <v>865.1</v>
      </c>
      <c r="D49" s="44">
        <f>3.1+3.5+1+0.7+59.3+95.2+2.2+6-0.1+53.5+89.7+6.2+7.2+73.9+0.4+4+3.2</f>
        <v>408.99999999999994</v>
      </c>
      <c r="E49" s="1">
        <f>D49/D45*100</f>
        <v>10.85888756139652</v>
      </c>
      <c r="F49" s="1">
        <f t="shared" si="6"/>
        <v>77.24268177525967</v>
      </c>
      <c r="G49" s="1">
        <f t="shared" si="4"/>
        <v>47.2777713559126</v>
      </c>
      <c r="H49" s="44">
        <f t="shared" si="7"/>
        <v>120.50000000000006</v>
      </c>
      <c r="I49" s="44">
        <f t="shared" si="5"/>
        <v>456.1000000000001</v>
      </c>
    </row>
    <row r="50" spans="1:9" ht="18.75" thickBot="1">
      <c r="A50" s="23" t="s">
        <v>28</v>
      </c>
      <c r="B50" s="43">
        <f>B45-B46-B49-B48-B47</f>
        <v>97.60000000000018</v>
      </c>
      <c r="C50" s="43">
        <f>C45-C46-C49-C48-C47</f>
        <v>317.49999999999926</v>
      </c>
      <c r="D50" s="43">
        <f>D45-D46-D49-D48-D47</f>
        <v>67.69999999999969</v>
      </c>
      <c r="E50" s="1">
        <f>D50/D45*100</f>
        <v>1.797424664808169</v>
      </c>
      <c r="F50" s="1">
        <f t="shared" si="6"/>
        <v>69.36475409836021</v>
      </c>
      <c r="G50" s="1">
        <f t="shared" si="4"/>
        <v>21.322834645669246</v>
      </c>
      <c r="H50" s="44">
        <f t="shared" si="7"/>
        <v>29.90000000000049</v>
      </c>
      <c r="I50" s="44">
        <f t="shared" si="5"/>
        <v>249.79999999999956</v>
      </c>
    </row>
    <row r="51" spans="1:9" ht="18.75" thickBot="1">
      <c r="A51" s="22" t="s">
        <v>4</v>
      </c>
      <c r="B51" s="45">
        <f>8773.9-150</f>
        <v>8623.9</v>
      </c>
      <c r="C51" s="46">
        <f>23558.7+50+2250-940.4</f>
        <v>24918.3</v>
      </c>
      <c r="D51" s="47">
        <f>475.9+7.8+935.8+30.7-0.1+8+35.8+34+6+454.4+67.8+74.7+41.8+81.6+68+973+34+4.9+131.2+59.3+568.8+113.2+131.2+51.5+32.5+2.5+9+29.3+48.7+24.6+895.5+47.8+195.2+85.2+498.7+48.5+15.2+20.1+884.8+122.4+110.8+0.3</f>
        <v>7460.400000000001</v>
      </c>
      <c r="E51" s="3">
        <f>D51/D151*100</f>
        <v>1.4103822006454136</v>
      </c>
      <c r="F51" s="3">
        <f>D51/B51*100</f>
        <v>86.50842426280454</v>
      </c>
      <c r="G51" s="3">
        <f t="shared" si="4"/>
        <v>29.939442096772257</v>
      </c>
      <c r="H51" s="47">
        <f>B51-D51</f>
        <v>1163.499999999999</v>
      </c>
      <c r="I51" s="47">
        <f t="shared" si="5"/>
        <v>17457.899999999998</v>
      </c>
    </row>
    <row r="52" spans="1:9" ht="18">
      <c r="A52" s="23" t="s">
        <v>3</v>
      </c>
      <c r="B52" s="42">
        <f>4709.5-150</f>
        <v>4559.5</v>
      </c>
      <c r="C52" s="43">
        <f>16189.8-940.4</f>
        <v>15249.4</v>
      </c>
      <c r="D52" s="44">
        <f>392.4+738.8+389.6+752.9+403.1+730.4+397.8+724.9+1.1+0.1</f>
        <v>4531.1</v>
      </c>
      <c r="E52" s="1">
        <f>D52/D51*100</f>
        <v>60.7353493110289</v>
      </c>
      <c r="F52" s="1">
        <f t="shared" si="6"/>
        <v>99.37712468472421</v>
      </c>
      <c r="G52" s="1">
        <f t="shared" si="4"/>
        <v>29.71330019541753</v>
      </c>
      <c r="H52" s="44">
        <f t="shared" si="7"/>
        <v>28.399999999999636</v>
      </c>
      <c r="I52" s="44">
        <f t="shared" si="5"/>
        <v>10718.3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278.5</v>
      </c>
      <c r="C54" s="43">
        <v>810.2</v>
      </c>
      <c r="D54" s="44">
        <f>1.9+1.9+0.5+7.4+2.1+1.2+12.9+5.1+0.1+4.5+16.8+19.2+9.7+3.1+1.1+1.4+2.5+5.7+19.9+0.8+28.2+4+19.8+8.2+38.7+4.3+0.2</f>
        <v>221.2</v>
      </c>
      <c r="E54" s="1">
        <f>D54/D51*100</f>
        <v>2.964988472467964</v>
      </c>
      <c r="F54" s="1">
        <f t="shared" si="6"/>
        <v>79.42549371633751</v>
      </c>
      <c r="G54" s="1">
        <f t="shared" si="4"/>
        <v>27.301900765243147</v>
      </c>
      <c r="H54" s="44">
        <f t="shared" si="7"/>
        <v>57.30000000000001</v>
      </c>
      <c r="I54" s="44">
        <f t="shared" si="5"/>
        <v>589</v>
      </c>
    </row>
    <row r="55" spans="1:9" ht="18">
      <c r="A55" s="23" t="s">
        <v>0</v>
      </c>
      <c r="B55" s="42">
        <v>617.4</v>
      </c>
      <c r="C55" s="43">
        <v>1048.5</v>
      </c>
      <c r="D55" s="44">
        <f>0.5+0.6+7.5+73.9+2.1+51.2+20.8+16.3+5.9+0.4+16.8+14.9+10.4+71.4+0.3+1.2+1.4+16+1.2+0.1+25+43+3.8+1.3+4.1+73.9-0.2</f>
        <v>463.8000000000001</v>
      </c>
      <c r="E55" s="1">
        <f>D55/D51*100</f>
        <v>6.216824835129485</v>
      </c>
      <c r="F55" s="1">
        <f t="shared" si="6"/>
        <v>75.12147716229352</v>
      </c>
      <c r="G55" s="1">
        <f t="shared" si="4"/>
        <v>44.23462088698141</v>
      </c>
      <c r="H55" s="44">
        <f t="shared" si="7"/>
        <v>153.59999999999985</v>
      </c>
      <c r="I55" s="44">
        <f t="shared" si="5"/>
        <v>584.6999999999998</v>
      </c>
    </row>
    <row r="56" spans="1:9" ht="18">
      <c r="A56" s="23" t="s">
        <v>14</v>
      </c>
      <c r="B56" s="42">
        <v>173</v>
      </c>
      <c r="C56" s="43">
        <v>518.9</v>
      </c>
      <c r="D56" s="43">
        <f>34+46+40+40</f>
        <v>160</v>
      </c>
      <c r="E56" s="1">
        <f>D56/D51*100</f>
        <v>2.1446571229424696</v>
      </c>
      <c r="F56" s="1">
        <f>D56/B56*100</f>
        <v>92.48554913294798</v>
      </c>
      <c r="G56" s="1">
        <f>D56/C56*100</f>
        <v>30.834457506263252</v>
      </c>
      <c r="H56" s="44">
        <f t="shared" si="7"/>
        <v>13</v>
      </c>
      <c r="I56" s="44">
        <f t="shared" si="5"/>
        <v>358.9</v>
      </c>
    </row>
    <row r="57" spans="1:9" ht="18.75" thickBot="1">
      <c r="A57" s="23" t="s">
        <v>28</v>
      </c>
      <c r="B57" s="43">
        <f>B51-B52-B55-B54-B53-B56</f>
        <v>2995.4999999999995</v>
      </c>
      <c r="C57" s="43">
        <f>C51-C52-C55-C54-C53-C56</f>
        <v>7278.3</v>
      </c>
      <c r="D57" s="43">
        <f>D51-D52-D55-D54-D53-D56</f>
        <v>2084.3</v>
      </c>
      <c r="E57" s="1">
        <f>D57/D51*100</f>
        <v>27.938180258431185</v>
      </c>
      <c r="F57" s="1">
        <f t="shared" si="6"/>
        <v>69.58103822400268</v>
      </c>
      <c r="G57" s="1">
        <f t="shared" si="4"/>
        <v>28.637181759476803</v>
      </c>
      <c r="H57" s="44">
        <f>B57-D57</f>
        <v>911.1999999999994</v>
      </c>
      <c r="I57" s="44">
        <f>C57-D57</f>
        <v>5194</v>
      </c>
    </row>
    <row r="58" spans="1:9" s="37" customFormat="1" ht="19.5" hidden="1" thickBot="1">
      <c r="A58" s="96" t="s">
        <v>67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1401.8</v>
      </c>
      <c r="C59" s="46">
        <f>7844.6+200</f>
        <v>8044.6</v>
      </c>
      <c r="D59" s="47">
        <f>55.6+0.2+146.1+0.4+60.8+0.4+59.3+73.6+0.1+18.6+1.9+67.3+0.4+57.5+0.6+144.6-4.5+32.9+1.2+79.7+73.5+4+0.1+78.7+72.2+0.1</f>
        <v>1025.3000000000002</v>
      </c>
      <c r="E59" s="3">
        <f>D59/D151*100</f>
        <v>0.19383208277327524</v>
      </c>
      <c r="F59" s="3">
        <f>D59/B59*100</f>
        <v>73.14167498929949</v>
      </c>
      <c r="G59" s="3">
        <f t="shared" si="4"/>
        <v>12.745195534892972</v>
      </c>
      <c r="H59" s="47">
        <f>B59-D59</f>
        <v>376.4999999999998</v>
      </c>
      <c r="I59" s="47">
        <f t="shared" si="5"/>
        <v>7019.3</v>
      </c>
    </row>
    <row r="60" spans="1:9" ht="18">
      <c r="A60" s="23" t="s">
        <v>3</v>
      </c>
      <c r="B60" s="42">
        <v>942.8</v>
      </c>
      <c r="C60" s="43">
        <v>2900.3</v>
      </c>
      <c r="D60" s="44">
        <f>55.6+146.1+60.8+59.3+73.6+0.1+67.3+144.6-4.5+79.7+66.8+72.2-0.1</f>
        <v>821.5</v>
      </c>
      <c r="E60" s="1">
        <f>D60/D59*100</f>
        <v>80.12289086121133</v>
      </c>
      <c r="F60" s="1">
        <f t="shared" si="6"/>
        <v>87.13406873143828</v>
      </c>
      <c r="G60" s="1">
        <f t="shared" si="4"/>
        <v>28.324656070061714</v>
      </c>
      <c r="H60" s="44">
        <f t="shared" si="7"/>
        <v>121.29999999999995</v>
      </c>
      <c r="I60" s="44">
        <f t="shared" si="5"/>
        <v>2078.8</v>
      </c>
    </row>
    <row r="61" spans="1:9" ht="18">
      <c r="A61" s="23" t="s">
        <v>1</v>
      </c>
      <c r="B61" s="42">
        <v>6</v>
      </c>
      <c r="C61" s="43">
        <f>337.1+6</f>
        <v>343.1</v>
      </c>
      <c r="D61" s="44">
        <v>3.2</v>
      </c>
      <c r="E61" s="1">
        <f>D61/D59*100</f>
        <v>0.31210377450502286</v>
      </c>
      <c r="F61" s="1">
        <f>D61/B61*100</f>
        <v>53.333333333333336</v>
      </c>
      <c r="G61" s="1">
        <f t="shared" si="4"/>
        <v>0.9326726901777908</v>
      </c>
      <c r="H61" s="44">
        <f t="shared" si="7"/>
        <v>2.8</v>
      </c>
      <c r="I61" s="44">
        <f t="shared" si="5"/>
        <v>339.90000000000003</v>
      </c>
    </row>
    <row r="62" spans="1:9" ht="18">
      <c r="A62" s="23" t="s">
        <v>0</v>
      </c>
      <c r="B62" s="42">
        <v>231.8</v>
      </c>
      <c r="C62" s="43">
        <v>451.8</v>
      </c>
      <c r="D62" s="44">
        <f>0.4+18.6+55.1+0.5+32.9+0.7+67.5+3.7+0.4</f>
        <v>179.79999999999998</v>
      </c>
      <c r="E62" s="1">
        <f>D62/D59*100</f>
        <v>17.53633083000097</v>
      </c>
      <c r="F62" s="1">
        <f t="shared" si="6"/>
        <v>77.56686798964624</v>
      </c>
      <c r="G62" s="1">
        <f t="shared" si="4"/>
        <v>39.796370075254536</v>
      </c>
      <c r="H62" s="44">
        <f t="shared" si="7"/>
        <v>52.00000000000003</v>
      </c>
      <c r="I62" s="44">
        <f t="shared" si="5"/>
        <v>272</v>
      </c>
    </row>
    <row r="63" spans="1:9" ht="18">
      <c r="A63" s="23" t="s">
        <v>14</v>
      </c>
      <c r="B63" s="42">
        <v>0</v>
      </c>
      <c r="C63" s="43">
        <v>3707.1</v>
      </c>
      <c r="D63" s="44"/>
      <c r="E63" s="1">
        <f>D63/D59*100</f>
        <v>0</v>
      </c>
      <c r="F63" s="103" t="e">
        <f t="shared" si="6"/>
        <v>#DIV/0!</v>
      </c>
      <c r="G63" s="1">
        <f t="shared" si="4"/>
        <v>0</v>
      </c>
      <c r="H63" s="44">
        <f t="shared" si="7"/>
        <v>0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221.2</v>
      </c>
      <c r="C64" s="43">
        <f>C59-C60-C62-C63-C61</f>
        <v>642.3000000000001</v>
      </c>
      <c r="D64" s="43">
        <f>D59-D60-D62-D63-D61</f>
        <v>20.8000000000002</v>
      </c>
      <c r="E64" s="1">
        <f>D64/D59*100</f>
        <v>2.0286745342826684</v>
      </c>
      <c r="F64" s="1">
        <f t="shared" si="6"/>
        <v>9.403254972875317</v>
      </c>
      <c r="G64" s="1">
        <f t="shared" si="4"/>
        <v>3.2383621360735164</v>
      </c>
      <c r="H64" s="44">
        <f t="shared" si="7"/>
        <v>200.39999999999978</v>
      </c>
      <c r="I64" s="44">
        <f t="shared" si="5"/>
        <v>621.4999999999999</v>
      </c>
    </row>
    <row r="65" spans="1:9" s="37" customFormat="1" ht="19.5" hidden="1" thickBot="1">
      <c r="A65" s="96" t="s">
        <v>78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64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65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66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306</v>
      </c>
      <c r="C69" s="46">
        <f>C70+C71</f>
        <v>460.5</v>
      </c>
      <c r="D69" s="47">
        <f>SUM(D70:D71)</f>
        <v>227.79999999999995</v>
      </c>
      <c r="E69" s="35">
        <f>D69/D151*100</f>
        <v>0.043065393987859246</v>
      </c>
      <c r="F69" s="3">
        <f>D69/B69*100</f>
        <v>74.44444444444443</v>
      </c>
      <c r="G69" s="3">
        <f t="shared" si="4"/>
        <v>49.46796959826275</v>
      </c>
      <c r="H69" s="47">
        <f>B69-D69</f>
        <v>78.20000000000005</v>
      </c>
      <c r="I69" s="47">
        <f t="shared" si="5"/>
        <v>232.70000000000005</v>
      </c>
    </row>
    <row r="70" spans="1:9" ht="18">
      <c r="A70" s="23" t="s">
        <v>8</v>
      </c>
      <c r="B70" s="42">
        <v>286.5</v>
      </c>
      <c r="C70" s="43">
        <f>289</f>
        <v>289</v>
      </c>
      <c r="D70" s="44">
        <f>19.2+1.5+170.6+1.2+17.7+0.1+11</f>
        <v>221.29999999999995</v>
      </c>
      <c r="E70" s="1">
        <f>D70/D69*100</f>
        <v>97.14661984196664</v>
      </c>
      <c r="F70" s="1">
        <f t="shared" si="6"/>
        <v>77.24258289703315</v>
      </c>
      <c r="G70" s="1">
        <f t="shared" si="4"/>
        <v>76.5743944636678</v>
      </c>
      <c r="H70" s="44">
        <f t="shared" si="7"/>
        <v>65.20000000000005</v>
      </c>
      <c r="I70" s="44">
        <f t="shared" si="5"/>
        <v>67.70000000000005</v>
      </c>
    </row>
    <row r="71" spans="1:9" ht="18.75" thickBot="1">
      <c r="A71" s="23" t="s">
        <v>9</v>
      </c>
      <c r="B71" s="42">
        <f>40.3-21.3+0.5</f>
        <v>19.499999999999996</v>
      </c>
      <c r="C71" s="43">
        <f>267.3-68.6-27.9+0.7</f>
        <v>171.5</v>
      </c>
      <c r="D71" s="44">
        <f>6.5</f>
        <v>6.5</v>
      </c>
      <c r="E71" s="1">
        <f>D71/D70*100</f>
        <v>2.9371893357433354</v>
      </c>
      <c r="F71" s="1">
        <f t="shared" si="6"/>
        <v>33.333333333333336</v>
      </c>
      <c r="G71" s="1">
        <f t="shared" si="4"/>
        <v>3.7900874635568513</v>
      </c>
      <c r="H71" s="44">
        <f t="shared" si="7"/>
        <v>12.999999999999996</v>
      </c>
      <c r="I71" s="44">
        <f t="shared" si="5"/>
        <v>165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3233.3</v>
      </c>
      <c r="C77" s="62">
        <f>10000-100-5823.7</f>
        <v>4076.3</v>
      </c>
      <c r="D77" s="63"/>
      <c r="E77" s="41"/>
      <c r="F77" s="41"/>
      <c r="G77" s="41"/>
      <c r="H77" s="63">
        <f>B77-D77</f>
        <v>3233.3</v>
      </c>
      <c r="I77" s="63">
        <f t="shared" si="5"/>
        <v>4076.3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58</v>
      </c>
      <c r="B79" s="54"/>
      <c r="C79" s="46"/>
      <c r="D79" s="46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57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D84/D151*100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D87/D151*100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f>55151-400+265+0.3</f>
        <v>55016.3</v>
      </c>
      <c r="C90" s="46">
        <f>157960+265+0.3</f>
        <v>158225.3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+13.4+469.2+2448.2+10.2+19.3+11.7+43.2+14.5+11.6+13.1+36.9+2714.6+1411+0.2</f>
        <v>29365.7</v>
      </c>
      <c r="E90" s="3">
        <f>D90/D151*100</f>
        <v>5.551560317073215</v>
      </c>
      <c r="F90" s="3">
        <f aca="true" t="shared" si="10" ref="F90:F96">D90/B90*100</f>
        <v>53.37636300514574</v>
      </c>
      <c r="G90" s="3">
        <f t="shared" si="8"/>
        <v>18.55942128092031</v>
      </c>
      <c r="H90" s="47">
        <f aca="true" t="shared" si="11" ref="H90:H96">B90-D90</f>
        <v>25650.600000000002</v>
      </c>
      <c r="I90" s="47">
        <f t="shared" si="9"/>
        <v>128859.59999999999</v>
      </c>
    </row>
    <row r="91" spans="1:9" ht="18">
      <c r="A91" s="23" t="s">
        <v>3</v>
      </c>
      <c r="B91" s="42">
        <f>50590.6+67.7-1.2-6.4-400-10.6-137.7-228.3-135.4</f>
        <v>49738.7</v>
      </c>
      <c r="C91" s="43">
        <f>148246.2-137.7-228.3</f>
        <v>147880.2</v>
      </c>
      <c r="D91" s="44">
        <f>1016.5+861.2+216.8+0.1+15.6+1633.8+1584.8+610.3+2+34.8+60.4+677.1+1434.4+388.2+14.5+46.2+0.1+225.9+1690.4+1880.4+5.7+23.4+14.2+309.4+627.8+1876.2+1.4+2.8+20.2+321.2+999.1+1596.9+1340.8+29.5+22.6+10.8+458.4+2420.6+2.5+2587.3+1345.3</f>
        <v>26409.6</v>
      </c>
      <c r="E91" s="1">
        <f>D91/D90*100</f>
        <v>89.93349383804915</v>
      </c>
      <c r="F91" s="1">
        <f t="shared" si="10"/>
        <v>53.096683266752045</v>
      </c>
      <c r="G91" s="1">
        <f t="shared" si="8"/>
        <v>17.858780282958772</v>
      </c>
      <c r="H91" s="44">
        <f t="shared" si="11"/>
        <v>23329.1</v>
      </c>
      <c r="I91" s="44">
        <f t="shared" si="9"/>
        <v>121470.6</v>
      </c>
    </row>
    <row r="92" spans="1:9" ht="18">
      <c r="A92" s="23" t="s">
        <v>26</v>
      </c>
      <c r="B92" s="42">
        <v>1511.5</v>
      </c>
      <c r="C92" s="43">
        <v>2620.6</v>
      </c>
      <c r="D92" s="44">
        <f>48.5+5.1+5+1.3+22.8+67.3+62.7+3.5+1.4+40.6+112.7+571.4+55.5+1.7+2.4+3.1+83.6+0.9</f>
        <v>1089.5</v>
      </c>
      <c r="E92" s="1">
        <f>D92/D90*100</f>
        <v>3.7101107754965827</v>
      </c>
      <c r="F92" s="1">
        <f t="shared" si="10"/>
        <v>72.08071452199802</v>
      </c>
      <c r="G92" s="1">
        <f t="shared" si="8"/>
        <v>41.57444859955736</v>
      </c>
      <c r="H92" s="44">
        <f t="shared" si="11"/>
        <v>422</v>
      </c>
      <c r="I92" s="44">
        <f t="shared" si="9"/>
        <v>1531.1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3766.100000000006</v>
      </c>
      <c r="C94" s="43">
        <f>C90-C91-C92-C93</f>
        <v>7724.499999999976</v>
      </c>
      <c r="D94" s="43">
        <f>D90-D91-D92-D93</f>
        <v>1866.6000000000022</v>
      </c>
      <c r="E94" s="1">
        <f>D94/D90*100</f>
        <v>6.356395386454272</v>
      </c>
      <c r="F94" s="1">
        <f t="shared" si="10"/>
        <v>49.56320862430629</v>
      </c>
      <c r="G94" s="1">
        <f>D94/C94*100</f>
        <v>24.164670852482466</v>
      </c>
      <c r="H94" s="44">
        <f t="shared" si="11"/>
        <v>1899.5000000000036</v>
      </c>
      <c r="I94" s="44">
        <f>C94-D94</f>
        <v>5857.899999999974</v>
      </c>
    </row>
    <row r="95" spans="1:9" ht="18.75">
      <c r="A95" s="108" t="s">
        <v>12</v>
      </c>
      <c r="B95" s="111">
        <f>23935.4+405.6</f>
        <v>24341</v>
      </c>
      <c r="C95" s="113">
        <f>59880.5+5316.8</f>
        <v>65197.3</v>
      </c>
      <c r="D95" s="112">
        <f>158.8+434.4+321.9+32+1220.1+1621.7+82.6+1043.7+489.5+1835.3+427.5+91.3+190+524+63.3+11.3+68.3+293.9+953+327.8+2372.9+1+6.8+217.3+273.2+68.3-0.1+331.5+504+66.1+441.2+942.7+2276+81.9+57.4+38+675.8+274.5+35.7+263.7+3+29.9+269.5+461.5+44+1097.8+83.4</f>
        <v>21107.4</v>
      </c>
      <c r="E95" s="107">
        <f>D95/D151*100</f>
        <v>3.990335807986569</v>
      </c>
      <c r="F95" s="110">
        <f t="shared" si="10"/>
        <v>86.71541842980979</v>
      </c>
      <c r="G95" s="106">
        <f>D95/C95*100</f>
        <v>32.37465355160413</v>
      </c>
      <c r="H95" s="112">
        <f t="shared" si="11"/>
        <v>3233.5999999999985</v>
      </c>
      <c r="I95" s="122">
        <f>C95-D95</f>
        <v>44089.9</v>
      </c>
    </row>
    <row r="96" spans="1:9" ht="18.75" thickBot="1">
      <c r="A96" s="109" t="s">
        <v>85</v>
      </c>
      <c r="B96" s="114">
        <v>3599.7</v>
      </c>
      <c r="C96" s="115">
        <f>10660.3-133.5</f>
        <v>10526.8</v>
      </c>
      <c r="D96" s="116">
        <f>69.1+1043.7+68.3+1051.8+1+68.3+66.1+938.4+3</f>
        <v>3309.7</v>
      </c>
      <c r="E96" s="117">
        <f>D96/D95*100</f>
        <v>15.680282744440335</v>
      </c>
      <c r="F96" s="118">
        <f t="shared" si="10"/>
        <v>91.94377309220214</v>
      </c>
      <c r="G96" s="119">
        <f>D96/C96*100</f>
        <v>31.440703727628527</v>
      </c>
      <c r="H96" s="123">
        <f t="shared" si="11"/>
        <v>290</v>
      </c>
      <c r="I96" s="124">
        <f>C96-D96</f>
        <v>7217.099999999999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D98/D151*100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128">
        <f>4732.6-116+400-17.4</f>
        <v>4999.200000000001</v>
      </c>
      <c r="C102" s="92">
        <f>12999.2-348+46.7-53.7+124.7</f>
        <v>12768.900000000001</v>
      </c>
      <c r="D102" s="79">
        <f>139.4+4+202+15.3+32.9+18.1+0.4+4+39.7+141.6+9.9+31.3+27.6+1.1+399+127.2+7.6+63.2+113+70.6+140+195.7+6.2+179.8+200.1+39.2+404.4+43.9+5.5+14.3+123.2+146.6+30.6+5+8.3+5+134.6+84.2+7.5+24+0.1</f>
        <v>3246.0999999999995</v>
      </c>
      <c r="E102" s="19">
        <f>D102/D151*100</f>
        <v>0.6136724118700172</v>
      </c>
      <c r="F102" s="19">
        <f>D102/B102*100</f>
        <v>64.93238918226915</v>
      </c>
      <c r="G102" s="19">
        <f aca="true" t="shared" si="12" ref="G102:G149">D102/C102*100</f>
        <v>25.421923579948146</v>
      </c>
      <c r="H102" s="79">
        <f aca="true" t="shared" si="13" ref="H102:H107">B102-D102</f>
        <v>1753.1000000000013</v>
      </c>
      <c r="I102" s="79">
        <f aca="true" t="shared" si="14" ref="I102:I149">C102-D102</f>
        <v>9522.800000000003</v>
      </c>
    </row>
    <row r="103" spans="1:9" ht="18">
      <c r="A103" s="23" t="s">
        <v>3</v>
      </c>
      <c r="B103" s="89">
        <v>70.9</v>
      </c>
      <c r="C103" s="87">
        <v>259.1</v>
      </c>
      <c r="D103" s="87">
        <f>17.3+10+11+0.1</f>
        <v>38.4</v>
      </c>
      <c r="E103" s="83">
        <f>D103/D102*100</f>
        <v>1.182958011151844</v>
      </c>
      <c r="F103" s="1">
        <f>D103/B103*100</f>
        <v>54.1607898448519</v>
      </c>
      <c r="G103" s="83">
        <f>D103/C103*100</f>
        <v>14.820532612890775</v>
      </c>
      <c r="H103" s="87">
        <f t="shared" si="13"/>
        <v>32.50000000000001</v>
      </c>
      <c r="I103" s="87">
        <f t="shared" si="14"/>
        <v>220.70000000000002</v>
      </c>
    </row>
    <row r="104" spans="1:9" ht="18">
      <c r="A104" s="85" t="s">
        <v>49</v>
      </c>
      <c r="B104" s="74">
        <f>3963.7-116+390.1-17.4-2</f>
        <v>4218.400000000001</v>
      </c>
      <c r="C104" s="44">
        <f>10720.8-348+46.7-56.3+125.1</f>
        <v>10488.300000000001</v>
      </c>
      <c r="D104" s="44">
        <f>139.3+4+202+15.3-0.1+4+25.4+141.4+9.8+31.2+1.1+390.1+50+2+0.1+51.6+111.9+69.9+132+193.8+143.3+175.1+39.1+393+24.9+117+131.2+30.6+5+5+134.6</f>
        <v>2773.6</v>
      </c>
      <c r="E104" s="1">
        <f>D104/D102*100</f>
        <v>85.44407134715506</v>
      </c>
      <c r="F104" s="1">
        <f aca="true" t="shared" si="15" ref="F104:F149">D104/B104*100</f>
        <v>65.75004741134079</v>
      </c>
      <c r="G104" s="1">
        <f t="shared" si="12"/>
        <v>26.444705052296364</v>
      </c>
      <c r="H104" s="44">
        <f t="shared" si="13"/>
        <v>1444.8000000000006</v>
      </c>
      <c r="I104" s="44">
        <f t="shared" si="14"/>
        <v>7714.700000000001</v>
      </c>
    </row>
    <row r="105" spans="1:9" ht="54.75" hidden="1" thickBot="1">
      <c r="A105" s="86" t="s">
        <v>81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28</v>
      </c>
      <c r="B106" s="88">
        <f>B102-B103-B104</f>
        <v>709.9000000000005</v>
      </c>
      <c r="C106" s="88">
        <f>C102-C103-C104</f>
        <v>2021.5</v>
      </c>
      <c r="D106" s="88">
        <f>D102-D103-D104</f>
        <v>434.09999999999945</v>
      </c>
      <c r="E106" s="84">
        <f>D106/D102*100</f>
        <v>13.372970641693094</v>
      </c>
      <c r="F106" s="84">
        <f t="shared" si="15"/>
        <v>61.14945767009425</v>
      </c>
      <c r="G106" s="84">
        <f t="shared" si="12"/>
        <v>21.474152856789487</v>
      </c>
      <c r="H106" s="124">
        <f>B106-D106</f>
        <v>275.8000000000011</v>
      </c>
      <c r="I106" s="124">
        <f t="shared" si="14"/>
        <v>1587.4000000000005</v>
      </c>
    </row>
    <row r="107" spans="1:9" s="2" customFormat="1" ht="26.25" customHeight="1" thickBot="1">
      <c r="A107" s="80" t="s">
        <v>29</v>
      </c>
      <c r="B107" s="81">
        <f>SUM(B108:B148)-B115-B119+B149-B140-B141-B109-B112-B122-B123-B138-B131-B129-B136</f>
        <v>118677.69999999998</v>
      </c>
      <c r="C107" s="81">
        <f>SUM(C108:C148)-C115-C119+C149-C140-C141-C109-C112-C122-C123-C138-C131-C129-C136</f>
        <v>535627.7999999999</v>
      </c>
      <c r="D107" s="81">
        <f>SUM(D108:D148)-D115-D119+D149-D140-D141-D109-D112-D122-D123-D138-D131-D129-D136</f>
        <v>113005.70000000003</v>
      </c>
      <c r="E107" s="82">
        <f>D107/D151*100</f>
        <v>21.36363034843647</v>
      </c>
      <c r="F107" s="82">
        <f>D107/B107*100</f>
        <v>95.22066908947514</v>
      </c>
      <c r="G107" s="82">
        <f t="shared" si="12"/>
        <v>21.097803362708216</v>
      </c>
      <c r="H107" s="81">
        <f t="shared" si="13"/>
        <v>5671.999999999956</v>
      </c>
      <c r="I107" s="81">
        <f t="shared" si="14"/>
        <v>422622.0999999999</v>
      </c>
    </row>
    <row r="108" spans="1:9" ht="37.5">
      <c r="A108" s="28" t="s">
        <v>53</v>
      </c>
      <c r="B108" s="71">
        <v>1836.9</v>
      </c>
      <c r="C108" s="67">
        <v>4095.6</v>
      </c>
      <c r="D108" s="72">
        <f>12.6+3.2+110.8+149.9+0.1+86+66+19.9+30.9+1.3+4.4+3.9+8.5+1.6+0.1+167.2+12.2+0.7+2+1.4+0.1</f>
        <v>682.8000000000001</v>
      </c>
      <c r="E108" s="6">
        <f>D108/D107*100</f>
        <v>0.6042173093923581</v>
      </c>
      <c r="F108" s="6">
        <f t="shared" si="15"/>
        <v>37.17132124775437</v>
      </c>
      <c r="G108" s="6">
        <f t="shared" si="12"/>
        <v>16.671549956050395</v>
      </c>
      <c r="H108" s="61">
        <f aca="true" t="shared" si="16" ref="H108:H149">B108-D108</f>
        <v>1154.1</v>
      </c>
      <c r="I108" s="61">
        <f t="shared" si="14"/>
        <v>3412.7999999999997</v>
      </c>
    </row>
    <row r="109" spans="1:9" ht="18">
      <c r="A109" s="23" t="s">
        <v>26</v>
      </c>
      <c r="B109" s="74">
        <v>1293.4</v>
      </c>
      <c r="C109" s="44">
        <v>2633.8</v>
      </c>
      <c r="D109" s="75">
        <f>68.3+138.7+47.8+60.9+18.1+30+81.4</f>
        <v>445.20000000000005</v>
      </c>
      <c r="E109" s="1">
        <f>D109/D108*100</f>
        <v>65.20210896309314</v>
      </c>
      <c r="F109" s="1">
        <f t="shared" si="15"/>
        <v>34.420906138858825</v>
      </c>
      <c r="G109" s="1">
        <f t="shared" si="12"/>
        <v>16.903333586453034</v>
      </c>
      <c r="H109" s="44">
        <f t="shared" si="16"/>
        <v>848.2</v>
      </c>
      <c r="I109" s="44">
        <f t="shared" si="14"/>
        <v>2188.6000000000004</v>
      </c>
    </row>
    <row r="110" spans="1:9" ht="34.5" customHeight="1">
      <c r="A110" s="16" t="s">
        <v>80</v>
      </c>
      <c r="B110" s="73">
        <v>447.7</v>
      </c>
      <c r="C110" s="61">
        <v>1175.4</v>
      </c>
      <c r="D110" s="72">
        <f>11.8+87.5</f>
        <v>99.3</v>
      </c>
      <c r="E110" s="6">
        <f>D110/D107*100</f>
        <v>0.08787167372973219</v>
      </c>
      <c r="F110" s="6">
        <f>D110/B110*100</f>
        <v>22.18003127094036</v>
      </c>
      <c r="G110" s="6">
        <f t="shared" si="12"/>
        <v>8.448187850944358</v>
      </c>
      <c r="H110" s="61">
        <f t="shared" si="16"/>
        <v>348.4</v>
      </c>
      <c r="I110" s="61">
        <f t="shared" si="14"/>
        <v>1076.1000000000001</v>
      </c>
    </row>
    <row r="111" spans="1:9" s="37" customFormat="1" ht="34.5" customHeight="1">
      <c r="A111" s="16" t="s">
        <v>99</v>
      </c>
      <c r="B111" s="73">
        <f>146.7-110.1</f>
        <v>36.599999999999994</v>
      </c>
      <c r="C111" s="53">
        <v>196.7</v>
      </c>
      <c r="D111" s="76"/>
      <c r="E111" s="6">
        <f>D111/D107*100</f>
        <v>0</v>
      </c>
      <c r="F111" s="125">
        <f t="shared" si="15"/>
        <v>0</v>
      </c>
      <c r="G111" s="6">
        <f t="shared" si="12"/>
        <v>0</v>
      </c>
      <c r="H111" s="61">
        <f t="shared" si="16"/>
        <v>36.599999999999994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94</v>
      </c>
      <c r="B113" s="73">
        <v>33</v>
      </c>
      <c r="C113" s="61">
        <v>60</v>
      </c>
      <c r="D113" s="72"/>
      <c r="E113" s="6">
        <f>D113/D107*100</f>
        <v>0</v>
      </c>
      <c r="F113" s="125">
        <f t="shared" si="15"/>
        <v>0</v>
      </c>
      <c r="G113" s="6">
        <f t="shared" si="12"/>
        <v>0</v>
      </c>
      <c r="H113" s="61">
        <f t="shared" si="16"/>
        <v>33</v>
      </c>
      <c r="I113" s="61">
        <f t="shared" si="14"/>
        <v>60</v>
      </c>
    </row>
    <row r="114" spans="1:9" ht="37.5">
      <c r="A114" s="16" t="s">
        <v>39</v>
      </c>
      <c r="B114" s="73">
        <v>1112.1</v>
      </c>
      <c r="C114" s="61">
        <v>2915.4</v>
      </c>
      <c r="D114" s="72">
        <f>136.4+40+10+2+0.1+10.6+142+54.3+10.6+6.6+21.9+41.3+8.2+239.5+0.2+6.2+0.7+26.9+145.7+54.9+4</f>
        <v>962.1</v>
      </c>
      <c r="E114" s="6">
        <f>D114/D107*100</f>
        <v>0.851372983840638</v>
      </c>
      <c r="F114" s="6">
        <f t="shared" si="15"/>
        <v>86.51200431615862</v>
      </c>
      <c r="G114" s="6">
        <f t="shared" si="12"/>
        <v>33.00061741098991</v>
      </c>
      <c r="H114" s="61">
        <f t="shared" si="16"/>
        <v>149.9999999999999</v>
      </c>
      <c r="I114" s="61">
        <f t="shared" si="14"/>
        <v>1953.3000000000002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95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f>119-100</f>
        <v>19</v>
      </c>
      <c r="C117" s="61">
        <f>99+100</f>
        <v>199</v>
      </c>
      <c r="D117" s="72"/>
      <c r="E117" s="6">
        <f>D117/D107*100</f>
        <v>0</v>
      </c>
      <c r="F117" s="125">
        <f>D117/B117*100</f>
        <v>0</v>
      </c>
      <c r="G117" s="6">
        <f t="shared" si="12"/>
        <v>0</v>
      </c>
      <c r="H117" s="61">
        <f t="shared" si="16"/>
        <v>19</v>
      </c>
      <c r="I117" s="61">
        <f t="shared" si="14"/>
        <v>199</v>
      </c>
    </row>
    <row r="118" spans="1:9" s="2" customFormat="1" ht="18.75">
      <c r="A118" s="16" t="s">
        <v>15</v>
      </c>
      <c r="B118" s="73">
        <v>180.8</v>
      </c>
      <c r="C118" s="53">
        <v>422.8</v>
      </c>
      <c r="D118" s="72">
        <f>39+5+6.2+39.1+4.9+0.4+0.8+39+0.1+5.5+0.9+39</f>
        <v>179.90000000000003</v>
      </c>
      <c r="E118" s="6">
        <f>D118/D107*100</f>
        <v>0.15919550960703752</v>
      </c>
      <c r="F118" s="6">
        <f t="shared" si="15"/>
        <v>99.50221238938055</v>
      </c>
      <c r="G118" s="6">
        <f t="shared" si="12"/>
        <v>42.54966887417219</v>
      </c>
      <c r="H118" s="61">
        <f t="shared" si="16"/>
        <v>0.8999999999999773</v>
      </c>
      <c r="I118" s="61">
        <f t="shared" si="14"/>
        <v>242.89999999999998</v>
      </c>
    </row>
    <row r="119" spans="1:9" s="32" customFormat="1" ht="18">
      <c r="A119" s="33" t="s">
        <v>44</v>
      </c>
      <c r="B119" s="74">
        <v>156.2</v>
      </c>
      <c r="C119" s="44">
        <v>351.4</v>
      </c>
      <c r="D119" s="75">
        <f>39+39.1+39+39.1</f>
        <v>156.2</v>
      </c>
      <c r="E119" s="1">
        <f>D119/D118*100</f>
        <v>86.82601445247357</v>
      </c>
      <c r="F119" s="1">
        <f t="shared" si="15"/>
        <v>100</v>
      </c>
      <c r="G119" s="1">
        <f t="shared" si="12"/>
        <v>44.45076835515083</v>
      </c>
      <c r="H119" s="44">
        <f t="shared" si="16"/>
        <v>0</v>
      </c>
      <c r="I119" s="44">
        <f t="shared" si="14"/>
        <v>195.2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100</v>
      </c>
      <c r="B121" s="73">
        <v>81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81</v>
      </c>
      <c r="I121" s="61">
        <f t="shared" si="14"/>
        <v>520</v>
      </c>
    </row>
    <row r="122" spans="1:9" s="102" customFormat="1" ht="18">
      <c r="A122" s="23" t="s">
        <v>82</v>
      </c>
      <c r="B122" s="74">
        <v>0</v>
      </c>
      <c r="C122" s="44">
        <v>80</v>
      </c>
      <c r="D122" s="75"/>
      <c r="E122" s="6"/>
      <c r="F122" s="103" t="e">
        <f>D122/B122*100</f>
        <v>#DIV/0!</v>
      </c>
      <c r="G122" s="1">
        <f t="shared" si="12"/>
        <v>0</v>
      </c>
      <c r="H122" s="44">
        <f t="shared" si="16"/>
        <v>0</v>
      </c>
      <c r="I122" s="44">
        <f t="shared" si="14"/>
        <v>80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101</v>
      </c>
      <c r="B124" s="73">
        <v>14692.1</v>
      </c>
      <c r="C124" s="53">
        <f>33585.8+9933.2</f>
        <v>43519</v>
      </c>
      <c r="D124" s="76">
        <f>3483.8+2635.6+1853.3+812.9+1333.3+1694.1+1722.4</f>
        <v>13535.4</v>
      </c>
      <c r="E124" s="17">
        <f>D124/D107*100</f>
        <v>11.97762590736573</v>
      </c>
      <c r="F124" s="6">
        <f t="shared" si="15"/>
        <v>92.12706148202095</v>
      </c>
      <c r="G124" s="6">
        <f t="shared" si="12"/>
        <v>31.102277166295178</v>
      </c>
      <c r="H124" s="61">
        <f t="shared" si="16"/>
        <v>1156.7000000000007</v>
      </c>
      <c r="I124" s="61">
        <f t="shared" si="14"/>
        <v>29983.6</v>
      </c>
    </row>
    <row r="125" spans="1:9" s="2" customFormat="1" ht="18.75">
      <c r="A125" s="16" t="s">
        <v>96</v>
      </c>
      <c r="B125" s="73">
        <v>110</v>
      </c>
      <c r="C125" s="53">
        <f>585+110</f>
        <v>695</v>
      </c>
      <c r="D125" s="76">
        <f>10</f>
        <v>10</v>
      </c>
      <c r="E125" s="17">
        <f>D125/D107*100</f>
        <v>0.008849111151030433</v>
      </c>
      <c r="F125" s="6">
        <f t="shared" si="15"/>
        <v>9.090909090909092</v>
      </c>
      <c r="G125" s="6">
        <f t="shared" si="12"/>
        <v>1.4388489208633095</v>
      </c>
      <c r="H125" s="61">
        <f t="shared" si="16"/>
        <v>100</v>
      </c>
      <c r="I125" s="61">
        <f t="shared" si="14"/>
        <v>685</v>
      </c>
    </row>
    <row r="126" spans="1:9" s="2" customFormat="1" ht="37.5">
      <c r="A126" s="16" t="s">
        <v>110</v>
      </c>
      <c r="B126" s="73"/>
      <c r="C126" s="53">
        <v>200</v>
      </c>
      <c r="D126" s="76"/>
      <c r="E126" s="17">
        <f>D126/D107*100</f>
        <v>0</v>
      </c>
      <c r="F126" s="125" t="e">
        <f t="shared" si="15"/>
        <v>#DIV/0!</v>
      </c>
      <c r="G126" s="6">
        <f t="shared" si="12"/>
        <v>0</v>
      </c>
      <c r="H126" s="61">
        <f t="shared" si="16"/>
        <v>0</v>
      </c>
      <c r="I126" s="61">
        <f t="shared" si="14"/>
        <v>200</v>
      </c>
    </row>
    <row r="127" spans="1:9" s="2" customFormat="1" ht="37.5">
      <c r="A127" s="16" t="s">
        <v>87</v>
      </c>
      <c r="B127" s="73">
        <v>81.6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81.6</v>
      </c>
      <c r="I127" s="61">
        <f t="shared" si="14"/>
        <v>81.6</v>
      </c>
    </row>
    <row r="128" spans="1:9" s="2" customFormat="1" ht="37.5">
      <c r="A128" s="16" t="s">
        <v>59</v>
      </c>
      <c r="B128" s="73">
        <v>563.7</v>
      </c>
      <c r="C128" s="53">
        <v>1253.3</v>
      </c>
      <c r="D128" s="76">
        <f>6.5+6.7+0.9+10.2+6.4+2.4+29+2.5+26.7+1.1+7.5+20.9+3.3+0.1+0.1+0.6+54.3+6.4</f>
        <v>185.59999999999997</v>
      </c>
      <c r="E128" s="17">
        <f>D128/D107*100</f>
        <v>0.1642395029631248</v>
      </c>
      <c r="F128" s="6">
        <f t="shared" si="15"/>
        <v>32.92531488380343</v>
      </c>
      <c r="G128" s="6">
        <f t="shared" si="12"/>
        <v>14.808904492140746</v>
      </c>
      <c r="H128" s="61">
        <f t="shared" si="16"/>
        <v>378.1000000000001</v>
      </c>
      <c r="I128" s="61">
        <f t="shared" si="14"/>
        <v>1067.7</v>
      </c>
    </row>
    <row r="129" spans="1:9" s="32" customFormat="1" ht="18">
      <c r="A129" s="23" t="s">
        <v>90</v>
      </c>
      <c r="B129" s="74">
        <v>115.6</v>
      </c>
      <c r="C129" s="44">
        <v>459.6</v>
      </c>
      <c r="D129" s="75">
        <f>6.4+6.4+6.4+6.4</f>
        <v>25.6</v>
      </c>
      <c r="E129" s="1">
        <f>D129/D128*100</f>
        <v>13.793103448275865</v>
      </c>
      <c r="F129" s="1">
        <f>D129/B129*100</f>
        <v>22.145328719723185</v>
      </c>
      <c r="G129" s="1">
        <f t="shared" si="12"/>
        <v>5.57006092254134</v>
      </c>
      <c r="H129" s="44">
        <f t="shared" si="16"/>
        <v>90</v>
      </c>
      <c r="I129" s="44">
        <f t="shared" si="14"/>
        <v>434</v>
      </c>
    </row>
    <row r="130" spans="1:9" s="2" customFormat="1" ht="37.5" hidden="1">
      <c r="A130" s="16" t="s">
        <v>97</v>
      </c>
      <c r="B130" s="73"/>
      <c r="C130" s="53"/>
      <c r="D130" s="76"/>
      <c r="E130" s="17">
        <f>D130/D107*100</f>
        <v>0</v>
      </c>
      <c r="F130" s="125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 hidden="1">
      <c r="A132" s="16" t="s">
        <v>55</v>
      </c>
      <c r="B132" s="73"/>
      <c r="C132" s="53"/>
      <c r="D132" s="76"/>
      <c r="E132" s="17">
        <f>D132/D107*100</f>
        <v>0</v>
      </c>
      <c r="F132" s="6" t="e">
        <f t="shared" si="15"/>
        <v>#DIV/0!</v>
      </c>
      <c r="G132" s="6" t="e">
        <f t="shared" si="12"/>
        <v>#DIV/0!</v>
      </c>
      <c r="H132" s="61">
        <f t="shared" si="16"/>
        <v>0</v>
      </c>
      <c r="I132" s="61">
        <f>C132-D132</f>
        <v>0</v>
      </c>
    </row>
    <row r="133" spans="1:9" s="2" customFormat="1" ht="35.25" customHeight="1" hidden="1">
      <c r="A133" s="16" t="s">
        <v>56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89</v>
      </c>
      <c r="B134" s="73">
        <v>36.1</v>
      </c>
      <c r="C134" s="53">
        <v>108.1</v>
      </c>
      <c r="D134" s="76">
        <f>3.8+10.3+1.3</f>
        <v>15.400000000000002</v>
      </c>
      <c r="E134" s="17">
        <f>D134/D107*100</f>
        <v>0.013627631172586868</v>
      </c>
      <c r="F134" s="6">
        <f t="shared" si="15"/>
        <v>42.659279778393355</v>
      </c>
      <c r="G134" s="6">
        <f t="shared" si="12"/>
        <v>14.246068455134136</v>
      </c>
      <c r="H134" s="61">
        <f t="shared" si="16"/>
        <v>20.7</v>
      </c>
      <c r="I134" s="61">
        <f t="shared" si="14"/>
        <v>92.69999999999999</v>
      </c>
    </row>
    <row r="135" spans="1:9" s="2" customFormat="1" ht="39" customHeight="1">
      <c r="A135" s="16" t="s">
        <v>56</v>
      </c>
      <c r="B135" s="73">
        <v>126</v>
      </c>
      <c r="C135" s="53">
        <v>626.8</v>
      </c>
      <c r="D135" s="76"/>
      <c r="E135" s="17">
        <f>D135/D107*100</f>
        <v>0</v>
      </c>
      <c r="F135" s="125">
        <f t="shared" si="15"/>
        <v>0</v>
      </c>
      <c r="G135" s="6">
        <f t="shared" si="12"/>
        <v>0</v>
      </c>
      <c r="H135" s="61">
        <f t="shared" si="16"/>
        <v>126</v>
      </c>
      <c r="I135" s="61">
        <f t="shared" si="14"/>
        <v>626.8</v>
      </c>
    </row>
    <row r="136" spans="1:9" s="32" customFormat="1" ht="18">
      <c r="A136" s="23" t="s">
        <v>90</v>
      </c>
      <c r="B136" s="74">
        <v>50</v>
      </c>
      <c r="C136" s="44">
        <v>400</v>
      </c>
      <c r="D136" s="75"/>
      <c r="E136" s="1"/>
      <c r="F136" s="125">
        <f>D136/B136*100</f>
        <v>0</v>
      </c>
      <c r="G136" s="1">
        <f>D136/C136*100</f>
        <v>0</v>
      </c>
      <c r="H136" s="44">
        <f>B136-D136</f>
        <v>50</v>
      </c>
      <c r="I136" s="44">
        <f>C136-D136</f>
        <v>400</v>
      </c>
    </row>
    <row r="137" spans="1:9" s="2" customFormat="1" ht="37.5">
      <c r="A137" s="16" t="s">
        <v>86</v>
      </c>
      <c r="B137" s="73">
        <v>183.4</v>
      </c>
      <c r="C137" s="53">
        <v>381.2</v>
      </c>
      <c r="D137" s="76">
        <f>0.5+1.3+15.9+33.5+3+0.6+15.2+1.3+36.5+1.9+0.3+0.3+0.6+5+2+16.5</f>
        <v>134.39999999999998</v>
      </c>
      <c r="E137" s="17">
        <f>D137/D107*100</f>
        <v>0.118932053869849</v>
      </c>
      <c r="F137" s="6">
        <f t="shared" si="15"/>
        <v>73.2824427480916</v>
      </c>
      <c r="G137" s="6">
        <f>D137/C137*100</f>
        <v>35.25708289611752</v>
      </c>
      <c r="H137" s="61">
        <f t="shared" si="16"/>
        <v>49.00000000000003</v>
      </c>
      <c r="I137" s="61">
        <f t="shared" si="14"/>
        <v>246.8</v>
      </c>
    </row>
    <row r="138" spans="1:9" s="32" customFormat="1" ht="18">
      <c r="A138" s="23" t="s">
        <v>26</v>
      </c>
      <c r="B138" s="74">
        <v>151.6</v>
      </c>
      <c r="C138" s="44">
        <v>306.1</v>
      </c>
      <c r="D138" s="75">
        <f>15.9+33.5+15.2+36.5+0.3+4.6+16.5-0.1</f>
        <v>122.39999999999999</v>
      </c>
      <c r="E138" s="1">
        <f>D138/D137*100</f>
        <v>91.07142857142858</v>
      </c>
      <c r="F138" s="1">
        <f t="shared" si="15"/>
        <v>80.73878627968337</v>
      </c>
      <c r="G138" s="1">
        <f>D138/C138*100</f>
        <v>39.98693237504083</v>
      </c>
      <c r="H138" s="44">
        <f t="shared" si="16"/>
        <v>29.200000000000003</v>
      </c>
      <c r="I138" s="44">
        <f t="shared" si="14"/>
        <v>183.70000000000005</v>
      </c>
    </row>
    <row r="139" spans="1:9" s="2" customFormat="1" ht="18.75">
      <c r="A139" s="16" t="s">
        <v>102</v>
      </c>
      <c r="B139" s="73">
        <v>475.8</v>
      </c>
      <c r="C139" s="53">
        <f>1397.4+115.2</f>
        <v>1512.6000000000001</v>
      </c>
      <c r="D139" s="76">
        <f>26+59.9+0.4-0.1+0.1+27.3+5.8+57.7+6.3+46.3+13.6+50.5+6-0.1+43.3+3.1+0.2+52.2</f>
        <v>398.50000000000006</v>
      </c>
      <c r="E139" s="17">
        <f>D139/D107*100</f>
        <v>0.3526370793685628</v>
      </c>
      <c r="F139" s="6">
        <f t="shared" si="15"/>
        <v>83.75367801597311</v>
      </c>
      <c r="G139" s="6">
        <f t="shared" si="12"/>
        <v>26.3453655956631</v>
      </c>
      <c r="H139" s="61">
        <f t="shared" si="16"/>
        <v>77.29999999999995</v>
      </c>
      <c r="I139" s="61">
        <f t="shared" si="14"/>
        <v>1114.1000000000001</v>
      </c>
    </row>
    <row r="140" spans="1:9" s="32" customFormat="1" ht="18">
      <c r="A140" s="33" t="s">
        <v>44</v>
      </c>
      <c r="B140" s="74">
        <v>347.9</v>
      </c>
      <c r="C140" s="44">
        <f>1063.5+115.2</f>
        <v>1178.7</v>
      </c>
      <c r="D140" s="75">
        <f>26+59.9+27.3+57.1-0.1+46.3+42.7-0.1+36.4+51.8</f>
        <v>347.29999999999995</v>
      </c>
      <c r="E140" s="1">
        <f>D140/D139*100</f>
        <v>87.1518193224592</v>
      </c>
      <c r="F140" s="1">
        <f aca="true" t="shared" si="17" ref="F140:F148">D140/B140*100</f>
        <v>99.8275366484622</v>
      </c>
      <c r="G140" s="1">
        <f t="shared" si="12"/>
        <v>29.46466446084669</v>
      </c>
      <c r="H140" s="44">
        <f t="shared" si="16"/>
        <v>0.6000000000000227</v>
      </c>
      <c r="I140" s="44">
        <f t="shared" si="14"/>
        <v>831.4000000000001</v>
      </c>
    </row>
    <row r="141" spans="1:9" s="32" customFormat="1" ht="18">
      <c r="A141" s="23" t="s">
        <v>26</v>
      </c>
      <c r="B141" s="74">
        <v>23.7</v>
      </c>
      <c r="C141" s="44">
        <v>37.5</v>
      </c>
      <c r="D141" s="75">
        <f>0.4+5.6+0.6+6+0.1+3.7+0.1+0.4</f>
        <v>16.9</v>
      </c>
      <c r="E141" s="1">
        <f>D141/D139*100</f>
        <v>4.240903387703889</v>
      </c>
      <c r="F141" s="1">
        <f t="shared" si="17"/>
        <v>71.30801687763713</v>
      </c>
      <c r="G141" s="1">
        <f>D141/C141*100</f>
        <v>45.06666666666666</v>
      </c>
      <c r="H141" s="44">
        <f t="shared" si="16"/>
        <v>6.800000000000001</v>
      </c>
      <c r="I141" s="44">
        <f t="shared" si="14"/>
        <v>20.6</v>
      </c>
    </row>
    <row r="142" spans="1:9" s="2" customFormat="1" ht="56.25">
      <c r="A142" s="18" t="s">
        <v>106</v>
      </c>
      <c r="B142" s="73">
        <v>300</v>
      </c>
      <c r="C142" s="53">
        <f>200+300</f>
        <v>500</v>
      </c>
      <c r="D142" s="76">
        <f>300</f>
        <v>300</v>
      </c>
      <c r="E142" s="17">
        <f>D142/D107*100</f>
        <v>0.265473334530913</v>
      </c>
      <c r="F142" s="99">
        <f t="shared" si="17"/>
        <v>100</v>
      </c>
      <c r="G142" s="6">
        <f t="shared" si="12"/>
        <v>60</v>
      </c>
      <c r="H142" s="61">
        <f t="shared" si="16"/>
        <v>0</v>
      </c>
      <c r="I142" s="61">
        <f t="shared" si="14"/>
        <v>200</v>
      </c>
    </row>
    <row r="143" spans="1:9" s="2" customFormat="1" ht="18.75" hidden="1">
      <c r="A143" s="18" t="s">
        <v>98</v>
      </c>
      <c r="B143" s="73"/>
      <c r="C143" s="53"/>
      <c r="D143" s="76"/>
      <c r="E143" s="17">
        <f>D143/D107*100</f>
        <v>0</v>
      </c>
      <c r="F143" s="99" t="e">
        <f>D143/B143*100</f>
        <v>#DIV/0!</v>
      </c>
      <c r="G143" s="6" t="e">
        <f t="shared" si="12"/>
        <v>#DIV/0!</v>
      </c>
      <c r="H143" s="61">
        <f t="shared" si="16"/>
        <v>0</v>
      </c>
      <c r="I143" s="61">
        <f t="shared" si="14"/>
        <v>0</v>
      </c>
    </row>
    <row r="144" spans="1:9" s="2" customFormat="1" ht="18.75">
      <c r="A144" s="18" t="s">
        <v>103</v>
      </c>
      <c r="B144" s="73">
        <f>22749.4-2821-205-300-2124.4-424-2118</f>
        <v>14757</v>
      </c>
      <c r="C144" s="53">
        <f>67967+150-2500-1878</f>
        <v>63739</v>
      </c>
      <c r="D144" s="76">
        <f>2189.1+2579.7+68.9+525.7+232.8+205.1+14+182+44.6+100.3+189.9+11.2+127+188.8+69.4+131.7+84.3+48.1+145.2+164.4+282.5+2057+0.1+4.7+884.5+257+126.5+89.5+69.2+64+1270.4+177.7+6.2+77.9+311.3-0.1</f>
        <v>12980.6</v>
      </c>
      <c r="E144" s="17">
        <f>D144/D107*100</f>
        <v>11.486677220706563</v>
      </c>
      <c r="F144" s="99">
        <f t="shared" si="17"/>
        <v>87.96232296537237</v>
      </c>
      <c r="G144" s="6">
        <f t="shared" si="12"/>
        <v>20.365239492304553</v>
      </c>
      <c r="H144" s="61">
        <f t="shared" si="16"/>
        <v>1776.3999999999996</v>
      </c>
      <c r="I144" s="61">
        <f t="shared" si="14"/>
        <v>50758.4</v>
      </c>
    </row>
    <row r="145" spans="1:9" s="2" customFormat="1" ht="18.75" hidden="1">
      <c r="A145" s="18" t="s">
        <v>88</v>
      </c>
      <c r="B145" s="73"/>
      <c r="C145" s="53"/>
      <c r="D145" s="76"/>
      <c r="E145" s="17">
        <f>D145/D107*100</f>
        <v>0</v>
      </c>
      <c r="F145" s="99" t="e">
        <f t="shared" si="17"/>
        <v>#DIV/0!</v>
      </c>
      <c r="G145" s="6" t="e">
        <f t="shared" si="12"/>
        <v>#DIV/0!</v>
      </c>
      <c r="H145" s="61">
        <f t="shared" si="16"/>
        <v>0</v>
      </c>
      <c r="I145" s="61">
        <f t="shared" si="14"/>
        <v>0</v>
      </c>
    </row>
    <row r="146" spans="1:9" s="2" customFormat="1" ht="18.75">
      <c r="A146" s="16" t="s">
        <v>104</v>
      </c>
      <c r="B146" s="73">
        <v>64.1</v>
      </c>
      <c r="C146" s="53">
        <v>234</v>
      </c>
      <c r="D146" s="76">
        <f>19.2</f>
        <v>19.2</v>
      </c>
      <c r="E146" s="17">
        <f>D146/D107*100</f>
        <v>0.01699029340997843</v>
      </c>
      <c r="F146" s="99">
        <f t="shared" si="17"/>
        <v>29.95319812792512</v>
      </c>
      <c r="G146" s="6">
        <f t="shared" si="12"/>
        <v>8.205128205128204</v>
      </c>
      <c r="H146" s="61">
        <f t="shared" si="16"/>
        <v>44.89999999999999</v>
      </c>
      <c r="I146" s="61">
        <f t="shared" si="14"/>
        <v>214.8</v>
      </c>
    </row>
    <row r="147" spans="1:12" s="2" customFormat="1" ht="18.75" customHeight="1">
      <c r="A147" s="16" t="s">
        <v>79</v>
      </c>
      <c r="B147" s="73">
        <f>3951.2+424</f>
        <v>4375.2</v>
      </c>
      <c r="C147" s="53">
        <v>10550.8</v>
      </c>
      <c r="D147" s="76">
        <f>1601.8+39.7+92.5+565.2+121.3+853.6+638.8+424</f>
        <v>4336.9</v>
      </c>
      <c r="E147" s="17">
        <f>D147/D107*100</f>
        <v>3.837771015090388</v>
      </c>
      <c r="F147" s="99">
        <f t="shared" si="17"/>
        <v>99.12461144633387</v>
      </c>
      <c r="G147" s="6">
        <f t="shared" si="12"/>
        <v>41.104939909769875</v>
      </c>
      <c r="H147" s="61">
        <f t="shared" si="16"/>
        <v>38.30000000000018</v>
      </c>
      <c r="I147" s="61">
        <f t="shared" si="14"/>
        <v>6213.9</v>
      </c>
      <c r="K147" s="38"/>
      <c r="L147" s="38"/>
    </row>
    <row r="148" spans="1:12" s="2" customFormat="1" ht="19.5" customHeight="1">
      <c r="A148" s="16" t="s">
        <v>51</v>
      </c>
      <c r="B148" s="73">
        <f>64186.8+2821+205+2124.4</f>
        <v>69337.2</v>
      </c>
      <c r="C148" s="53">
        <f>376354.8-1000+14285.9-198-200-300-15786.4</f>
        <v>373156.3</v>
      </c>
      <c r="D148" s="76">
        <f>4905.7+9487.9+9000+1500+6413+155.4+2591.5+899.7+3383.3+1969.5+5413.3+1388+616.4+1163.1+2765.5+2546.4+2561.8+1792+0.1+736.5+23.5+4.6+1885.9+2153.2+3856.5+1436.6+687.8</f>
        <v>69337.20000000001</v>
      </c>
      <c r="E148" s="17">
        <f>D148/D107*100</f>
        <v>61.35725897012274</v>
      </c>
      <c r="F148" s="6">
        <f t="shared" si="17"/>
        <v>100.00000000000003</v>
      </c>
      <c r="G148" s="6">
        <f t="shared" si="12"/>
        <v>18.581275460175807</v>
      </c>
      <c r="H148" s="61">
        <f t="shared" si="16"/>
        <v>0</v>
      </c>
      <c r="I148" s="61">
        <f t="shared" si="14"/>
        <v>303819.1</v>
      </c>
      <c r="K148" s="91"/>
      <c r="L148" s="38"/>
    </row>
    <row r="149" spans="1:12" s="2" customFormat="1" ht="18.75">
      <c r="A149" s="16" t="s">
        <v>105</v>
      </c>
      <c r="B149" s="73">
        <v>9828.4</v>
      </c>
      <c r="C149" s="53">
        <v>29485.2</v>
      </c>
      <c r="D149" s="76">
        <f>819+819+819.1+819+819+819.1+819+819+819.1+819+819+819.1</f>
        <v>9828.4</v>
      </c>
      <c r="E149" s="17">
        <f>D149/D107*100</f>
        <v>8.697260403678749</v>
      </c>
      <c r="F149" s="6">
        <f t="shared" si="15"/>
        <v>100</v>
      </c>
      <c r="G149" s="6">
        <f t="shared" si="12"/>
        <v>33.33333333333333</v>
      </c>
      <c r="H149" s="61">
        <f t="shared" si="16"/>
        <v>0</v>
      </c>
      <c r="I149" s="61">
        <f t="shared" si="14"/>
        <v>19656.800000000003</v>
      </c>
      <c r="K149" s="38"/>
      <c r="L149" s="38"/>
    </row>
    <row r="150" spans="1:12" s="2" customFormat="1" ht="19.5" thickBot="1">
      <c r="A150" s="34" t="s">
        <v>30</v>
      </c>
      <c r="B150" s="77">
        <f>B43+B69+B72+B77+B79+B87+B102+B107+B100+B84+B98</f>
        <v>128050.99999999999</v>
      </c>
      <c r="C150" s="77">
        <f>C43+C69+C72+C77+C79+C87+C102+C107+C100+C84+C98</f>
        <v>555013.8999999999</v>
      </c>
      <c r="D150" s="53">
        <f>D43+D69+D72+D77+D79+D87+D102+D107+D100+D84+D98</f>
        <v>117225.20000000003</v>
      </c>
      <c r="E150" s="17"/>
      <c r="F150" s="17"/>
      <c r="G150" s="6"/>
      <c r="H150" s="61"/>
      <c r="I150" s="53"/>
      <c r="K150" s="38"/>
      <c r="L150" s="38"/>
    </row>
    <row r="151" spans="1:12" ht="19.5" thickBot="1">
      <c r="A151" s="13" t="s">
        <v>18</v>
      </c>
      <c r="B151" s="47">
        <f>B6+B18+B33+B43+B51+B59+B69+B72+B77+B79+B87+B90+B95+B102+B107+B100+B84+B98+B45</f>
        <v>604723.5</v>
      </c>
      <c r="C151" s="47">
        <f>C6+C18+C33+C43+C51+C59+C69+C72+C77+C79+C87+C90+C95+C102+C107+C100+C84+C98+C45</f>
        <v>1879821.5</v>
      </c>
      <c r="D151" s="47">
        <f>D6+D18+D33+D43+D51+D59+D69+D72+D77+D79+D87+D90+D95+D102+D107+D100+D84+D98+D45</f>
        <v>528963.0000000001</v>
      </c>
      <c r="E151" s="31">
        <v>100</v>
      </c>
      <c r="F151" s="3">
        <f>D151/B151*100</f>
        <v>87.4718776432535</v>
      </c>
      <c r="G151" s="3">
        <f aca="true" t="shared" si="18" ref="G151:G157">D151/C151*100</f>
        <v>28.139001495620736</v>
      </c>
      <c r="H151" s="47">
        <f aca="true" t="shared" si="19" ref="H151:H157">B151-D151</f>
        <v>75760.49999999988</v>
      </c>
      <c r="I151" s="47">
        <f aca="true" t="shared" si="20" ref="I151:I157">C151-D151</f>
        <v>1350858.5</v>
      </c>
      <c r="K151" s="39"/>
      <c r="L151" s="40"/>
    </row>
    <row r="152" spans="1:12" ht="18.75">
      <c r="A152" s="18" t="s">
        <v>5</v>
      </c>
      <c r="B152" s="60">
        <f>B8+B20+B34+B52+B60+B91+B115+B119+B46+B140+B131+B103</f>
        <v>230979.69999999998</v>
      </c>
      <c r="C152" s="60">
        <f>C8+C20+C34+C52+C60+C91+C115+C119+C46+C140+C131+C103</f>
        <v>723589.8999999999</v>
      </c>
      <c r="D152" s="60">
        <f>D8+D20+D34+D52+D60+D91+D115+D119+D46+D140+D131+D103</f>
        <v>202702.2</v>
      </c>
      <c r="E152" s="6">
        <f>D152/D151*100</f>
        <v>38.320676493440935</v>
      </c>
      <c r="F152" s="6">
        <f aca="true" t="shared" si="21" ref="F152:F157">D152/B152*100</f>
        <v>87.75758215981752</v>
      </c>
      <c r="G152" s="6">
        <f t="shared" si="18"/>
        <v>28.013409252948396</v>
      </c>
      <c r="H152" s="61">
        <f t="shared" si="19"/>
        <v>28277.49999999997</v>
      </c>
      <c r="I152" s="72">
        <f t="shared" si="20"/>
        <v>520887.6999999999</v>
      </c>
      <c r="K152" s="39"/>
      <c r="L152" s="40"/>
    </row>
    <row r="153" spans="1:12" ht="18.75">
      <c r="A153" s="18" t="s">
        <v>0</v>
      </c>
      <c r="B153" s="61">
        <f>B11+B23+B36+B55+B62+B92+B49+B141+B109+B112+B96+B138</f>
        <v>53047</v>
      </c>
      <c r="C153" s="61">
        <f>C11+C23+C36+C55+C62+C92+C49+C141+C109+C112+C96+C138</f>
        <v>102336.00000000003</v>
      </c>
      <c r="D153" s="61">
        <f>D11+D23+D36+D55+D62+D92+D49+D141+D109+D112+D96+D138</f>
        <v>46033.20000000001</v>
      </c>
      <c r="E153" s="6">
        <f>D153/D151*100</f>
        <v>8.702536850403526</v>
      </c>
      <c r="F153" s="6">
        <f t="shared" si="21"/>
        <v>86.77814013987599</v>
      </c>
      <c r="G153" s="6">
        <f t="shared" si="18"/>
        <v>44.98241088180113</v>
      </c>
      <c r="H153" s="61">
        <f t="shared" si="19"/>
        <v>7013.799999999988</v>
      </c>
      <c r="I153" s="72">
        <f t="shared" si="20"/>
        <v>56302.80000000002</v>
      </c>
      <c r="K153" s="39"/>
      <c r="L153" s="90"/>
    </row>
    <row r="154" spans="1:12" ht="18.75">
      <c r="A154" s="18" t="s">
        <v>1</v>
      </c>
      <c r="B154" s="60">
        <f>B22+B10+B54+B48+B61+B35+B123</f>
        <v>12460.9</v>
      </c>
      <c r="C154" s="60">
        <f>C22+C10+C54+C48+C61+C35+C123</f>
        <v>28689.1</v>
      </c>
      <c r="D154" s="60">
        <f>D22+D10+D54+D48+D61+D35+D123</f>
        <v>10403.1</v>
      </c>
      <c r="E154" s="6">
        <f>D154/D151*100</f>
        <v>1.9666971035781327</v>
      </c>
      <c r="F154" s="6">
        <f t="shared" si="21"/>
        <v>83.48594403293502</v>
      </c>
      <c r="G154" s="6">
        <f t="shared" si="18"/>
        <v>36.26150698348851</v>
      </c>
      <c r="H154" s="61">
        <f t="shared" si="19"/>
        <v>2057.7999999999993</v>
      </c>
      <c r="I154" s="72">
        <f t="shared" si="20"/>
        <v>18286</v>
      </c>
      <c r="K154" s="39"/>
      <c r="L154" s="40"/>
    </row>
    <row r="155" spans="1:12" ht="21" customHeight="1">
      <c r="A155" s="18" t="s">
        <v>14</v>
      </c>
      <c r="B155" s="60">
        <f>B12+B24+B104+B63+B38+B93+B129+B56+B136</f>
        <v>9332.5</v>
      </c>
      <c r="C155" s="60">
        <f>C12+C24+C104+C63+C38+C93+C129+C56+C136</f>
        <v>29700.2</v>
      </c>
      <c r="D155" s="60">
        <f>D12+D24+D104+D63+D38+D93+D129+D56</f>
        <v>7285.4</v>
      </c>
      <c r="E155" s="6">
        <f>D155/D151*100</f>
        <v>1.3772986012254163</v>
      </c>
      <c r="F155" s="6">
        <f t="shared" si="21"/>
        <v>78.06482721671577</v>
      </c>
      <c r="G155" s="6">
        <f t="shared" si="18"/>
        <v>24.529801146120224</v>
      </c>
      <c r="H155" s="61">
        <f>B155-D155</f>
        <v>2047.1000000000004</v>
      </c>
      <c r="I155" s="72">
        <f t="shared" si="20"/>
        <v>22414.800000000003</v>
      </c>
      <c r="K155" s="39"/>
      <c r="L155" s="90"/>
    </row>
    <row r="156" spans="1:12" ht="18.75">
      <c r="A156" s="18" t="s">
        <v>2</v>
      </c>
      <c r="B156" s="60">
        <f>B9+B21+B47+B53+B122</f>
        <v>38.699999999999996</v>
      </c>
      <c r="C156" s="60">
        <f>C9+C21+C47+C53+C122</f>
        <v>186.9</v>
      </c>
      <c r="D156" s="60">
        <f>D9+D21+D47+D53+D122</f>
        <v>20.8</v>
      </c>
      <c r="E156" s="6">
        <f>D156/D151*100</f>
        <v>0.0039322221024911</v>
      </c>
      <c r="F156" s="6">
        <f t="shared" si="21"/>
        <v>53.746770025839794</v>
      </c>
      <c r="G156" s="6">
        <f t="shared" si="18"/>
        <v>11.128945960406634</v>
      </c>
      <c r="H156" s="61">
        <f t="shared" si="19"/>
        <v>17.899999999999995</v>
      </c>
      <c r="I156" s="72">
        <f t="shared" si="20"/>
        <v>166.1</v>
      </c>
      <c r="K156" s="39"/>
      <c r="L156" s="40"/>
    </row>
    <row r="157" spans="1:12" ht="19.5" thickBot="1">
      <c r="A157" s="126" t="s">
        <v>28</v>
      </c>
      <c r="B157" s="78">
        <f>B151-B152-B153-B154-B155-B156</f>
        <v>298864.7</v>
      </c>
      <c r="C157" s="78">
        <f>C151-C152-C153-C154-C155-C156</f>
        <v>995319.4000000001</v>
      </c>
      <c r="D157" s="78">
        <f>D151-D152-D153-D154-D155-D156</f>
        <v>262518.3000000001</v>
      </c>
      <c r="E157" s="36">
        <f>D157/D151*100</f>
        <v>49.6288587292495</v>
      </c>
      <c r="F157" s="36">
        <f t="shared" si="21"/>
        <v>87.83851020210821</v>
      </c>
      <c r="G157" s="36">
        <f t="shared" si="18"/>
        <v>26.37528214561075</v>
      </c>
      <c r="H157" s="127">
        <f t="shared" si="19"/>
        <v>36346.39999999991</v>
      </c>
      <c r="I157" s="127">
        <f t="shared" si="20"/>
        <v>732801.1000000001</v>
      </c>
      <c r="K157" s="39"/>
      <c r="L157" s="90"/>
    </row>
    <row r="158" spans="7:8" ht="12.75">
      <c r="G158" s="20"/>
      <c r="H158" s="20"/>
    </row>
    <row r="159" spans="7:9" ht="12.75">
      <c r="G159" s="20"/>
      <c r="H159" s="20"/>
      <c r="I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  <row r="396" spans="7:8" ht="12.75">
      <c r="G396" s="20"/>
      <c r="H396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0" operator="lessThan" stopIfTrue="1">
      <formula>0</formula>
    </cfRule>
  </conditionalFormatting>
  <printOptions/>
  <pageMargins left="0.57" right="0.16" top="0.2" bottom="0.19" header="0.17" footer="0.18"/>
  <pageSetup horizontalDpi="600" verticalDpi="600" orientation="portrait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1879821.5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528963.0000000001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1879821.5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528963.0000000001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2017-05-03T06:16:19Z</cp:lastPrinted>
  <dcterms:created xsi:type="dcterms:W3CDTF">2000-06-20T04:48:00Z</dcterms:created>
  <dcterms:modified xsi:type="dcterms:W3CDTF">2017-05-03T11:43:41Z</dcterms:modified>
  <cp:category/>
  <cp:version/>
  <cp:contentType/>
  <cp:contentStatus/>
</cp:coreProperties>
</file>